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995" windowHeight="150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Sheet1!$A$1:$Q$55</definedName>
  </definedNames>
  <calcPr calcId="145621"/>
</workbook>
</file>

<file path=xl/calcChain.xml><?xml version="1.0" encoding="utf-8"?>
<calcChain xmlns="http://schemas.openxmlformats.org/spreadsheetml/2006/main">
  <c r="S51" i="1" l="1"/>
  <c r="R51" i="1"/>
  <c r="T51" i="1" s="1"/>
  <c r="U51" i="1" s="1"/>
  <c r="S45" i="1"/>
  <c r="R45" i="1"/>
  <c r="T45" i="1" s="1"/>
  <c r="U45" i="1" s="1"/>
  <c r="S37" i="1"/>
  <c r="R37" i="1"/>
  <c r="T37" i="1" s="1"/>
  <c r="U37" i="1" s="1"/>
  <c r="S31" i="1"/>
  <c r="R31" i="1"/>
  <c r="T31" i="1" s="1"/>
  <c r="U31" i="1" s="1"/>
  <c r="S23" i="1"/>
  <c r="R23" i="1"/>
  <c r="T23" i="1" s="1"/>
  <c r="U23" i="1" s="1"/>
  <c r="S17" i="1"/>
  <c r="R17" i="1"/>
  <c r="T17" i="1" s="1"/>
  <c r="U17" i="1" s="1"/>
  <c r="R3" i="1"/>
  <c r="U9" i="1"/>
  <c r="U3" i="1"/>
  <c r="S9" i="1"/>
  <c r="R9" i="1"/>
  <c r="T9" i="1" s="1"/>
  <c r="S3" i="1"/>
  <c r="T3" i="1" l="1"/>
  <c r="O45" i="1"/>
  <c r="N45" i="1"/>
  <c r="M45" i="1"/>
  <c r="O31" i="1"/>
  <c r="N31" i="1"/>
  <c r="M31" i="1"/>
  <c r="I11" i="1"/>
  <c r="J11" i="1" s="1"/>
  <c r="H11" i="1"/>
  <c r="G11" i="1"/>
  <c r="I10" i="1"/>
  <c r="H10" i="1"/>
  <c r="J10" i="1" s="1"/>
  <c r="G10" i="1"/>
  <c r="O9" i="1"/>
  <c r="P9" i="1" s="1"/>
  <c r="Q9" i="1" s="1"/>
  <c r="N9" i="1"/>
  <c r="M9" i="1"/>
  <c r="J9" i="1"/>
  <c r="I9" i="1"/>
  <c r="H9" i="1"/>
  <c r="G9" i="1"/>
  <c r="I5" i="1"/>
  <c r="J5" i="1" s="1"/>
  <c r="H5" i="1"/>
  <c r="G5" i="1"/>
  <c r="J4" i="1"/>
  <c r="I4" i="1"/>
  <c r="H4" i="1"/>
  <c r="G4" i="1"/>
  <c r="O3" i="1"/>
  <c r="N3" i="1"/>
  <c r="P3" i="1" s="1"/>
  <c r="Q3" i="1" s="1"/>
  <c r="M3" i="1"/>
  <c r="I3" i="1"/>
  <c r="J3" i="1" s="1"/>
  <c r="H3" i="1"/>
  <c r="G3" i="1"/>
  <c r="O23" i="1"/>
  <c r="N23" i="1"/>
  <c r="M23" i="1"/>
  <c r="O17" i="1"/>
  <c r="N17" i="1"/>
  <c r="I25" i="1"/>
  <c r="I24" i="1"/>
  <c r="J24" i="1" s="1"/>
  <c r="I23" i="1"/>
  <c r="J23" i="1" s="1"/>
  <c r="I19" i="1"/>
  <c r="I18" i="1"/>
  <c r="J25" i="1"/>
  <c r="H25" i="1"/>
  <c r="G25" i="1"/>
  <c r="H24" i="1"/>
  <c r="G24" i="1"/>
  <c r="H23" i="1"/>
  <c r="G23" i="1"/>
  <c r="M17" i="1"/>
  <c r="J17" i="1"/>
  <c r="J18" i="1"/>
  <c r="J19" i="1"/>
  <c r="K17" i="1" s="1"/>
  <c r="I17" i="1"/>
  <c r="D31" i="1"/>
  <c r="E31" i="1"/>
  <c r="D32" i="1"/>
  <c r="E32" i="1"/>
  <c r="D33" i="1"/>
  <c r="E33" i="1"/>
  <c r="F33" i="1"/>
  <c r="H33" i="1" s="1"/>
  <c r="B37" i="1"/>
  <c r="D37" i="1" s="1"/>
  <c r="C37" i="1"/>
  <c r="B38" i="1"/>
  <c r="C38" i="1"/>
  <c r="B39" i="1"/>
  <c r="C39" i="1"/>
  <c r="B40" i="1"/>
  <c r="C40" i="1"/>
  <c r="D17" i="1"/>
  <c r="E17" i="1"/>
  <c r="F17" i="1" s="1"/>
  <c r="H17" i="1" s="1"/>
  <c r="D18" i="1"/>
  <c r="E18" i="1"/>
  <c r="D19" i="1"/>
  <c r="E19" i="1"/>
  <c r="B23" i="1"/>
  <c r="D23" i="1" s="1"/>
  <c r="C23" i="1"/>
  <c r="B24" i="1"/>
  <c r="C24" i="1"/>
  <c r="E24" i="1" s="1"/>
  <c r="B25" i="1"/>
  <c r="C25" i="1"/>
  <c r="E25" i="1" s="1"/>
  <c r="B26" i="1"/>
  <c r="C26" i="1"/>
  <c r="C54" i="1"/>
  <c r="B54" i="1"/>
  <c r="O51" i="1" s="1"/>
  <c r="C53" i="1"/>
  <c r="E53" i="1" s="1"/>
  <c r="B53" i="1"/>
  <c r="C52" i="1"/>
  <c r="B52" i="1"/>
  <c r="C51" i="1"/>
  <c r="B51" i="1"/>
  <c r="E47" i="1"/>
  <c r="D47" i="1"/>
  <c r="F47" i="1" s="1"/>
  <c r="H47" i="1" s="1"/>
  <c r="E46" i="1"/>
  <c r="D46" i="1"/>
  <c r="E45" i="1"/>
  <c r="D45" i="1"/>
  <c r="F11" i="1"/>
  <c r="F10" i="1"/>
  <c r="F9" i="1"/>
  <c r="E11" i="1"/>
  <c r="E10" i="1"/>
  <c r="E9" i="1"/>
  <c r="D11" i="1"/>
  <c r="D10" i="1"/>
  <c r="D9" i="1"/>
  <c r="C12" i="1"/>
  <c r="C11" i="1"/>
  <c r="C10" i="1"/>
  <c r="C9" i="1"/>
  <c r="B12" i="1"/>
  <c r="B11" i="1"/>
  <c r="B10" i="1"/>
  <c r="B9" i="1"/>
  <c r="F3" i="1"/>
  <c r="F5" i="1"/>
  <c r="F4" i="1"/>
  <c r="E5" i="1"/>
  <c r="E4" i="1"/>
  <c r="D5" i="1"/>
  <c r="D4" i="1"/>
  <c r="E3" i="1"/>
  <c r="D3" i="1"/>
  <c r="F45" i="1" l="1"/>
  <c r="H45" i="1" s="1"/>
  <c r="D51" i="1"/>
  <c r="I47" i="1"/>
  <c r="D52" i="1"/>
  <c r="D53" i="1"/>
  <c r="I53" i="1" s="1"/>
  <c r="M51" i="1"/>
  <c r="G47" i="1"/>
  <c r="J47" i="1" s="1"/>
  <c r="N51" i="1"/>
  <c r="P51" i="1" s="1"/>
  <c r="Q51" i="1" s="1"/>
  <c r="I46" i="1"/>
  <c r="I45" i="1"/>
  <c r="P45" i="1"/>
  <c r="Q45" i="1" s="1"/>
  <c r="E39" i="1"/>
  <c r="E37" i="1"/>
  <c r="I37" i="1" s="1"/>
  <c r="N37" i="1"/>
  <c r="F31" i="1"/>
  <c r="H31" i="1" s="1"/>
  <c r="G33" i="1"/>
  <c r="I33" i="1"/>
  <c r="O37" i="1"/>
  <c r="M37" i="1"/>
  <c r="P31" i="1"/>
  <c r="Q31" i="1" s="1"/>
  <c r="I32" i="1"/>
  <c r="F32" i="1"/>
  <c r="H32" i="1" s="1"/>
  <c r="D38" i="1"/>
  <c r="D39" i="1"/>
  <c r="I31" i="1"/>
  <c r="K3" i="1"/>
  <c r="L3" i="1" s="1"/>
  <c r="K9" i="1"/>
  <c r="L9" i="1" s="1"/>
  <c r="K23" i="1"/>
  <c r="F19" i="1"/>
  <c r="H19" i="1" s="1"/>
  <c r="E23" i="1"/>
  <c r="D25" i="1"/>
  <c r="G19" i="1"/>
  <c r="G17" i="1"/>
  <c r="P23" i="1"/>
  <c r="Q23" i="1" s="1"/>
  <c r="F18" i="1"/>
  <c r="H18" i="1" s="1"/>
  <c r="D24" i="1"/>
  <c r="F24" i="1" s="1"/>
  <c r="P17" i="1"/>
  <c r="Q17" i="1" s="1"/>
  <c r="E51" i="1"/>
  <c r="F51" i="1" s="1"/>
  <c r="H51" i="1" s="1"/>
  <c r="E52" i="1"/>
  <c r="F52" i="1" s="1"/>
  <c r="H52" i="1" s="1"/>
  <c r="F37" i="1"/>
  <c r="E38" i="1"/>
  <c r="F23" i="1"/>
  <c r="F25" i="1"/>
  <c r="F53" i="1"/>
  <c r="H53" i="1" s="1"/>
  <c r="F46" i="1"/>
  <c r="H46" i="1" s="1"/>
  <c r="I51" i="1" l="1"/>
  <c r="I52" i="1"/>
  <c r="G45" i="1"/>
  <c r="J45" i="1" s="1"/>
  <c r="G51" i="1"/>
  <c r="J51" i="1" s="1"/>
  <c r="G52" i="1"/>
  <c r="J52" i="1" s="1"/>
  <c r="G46" i="1"/>
  <c r="J46" i="1" s="1"/>
  <c r="G53" i="1"/>
  <c r="J53" i="1" s="1"/>
  <c r="J33" i="1"/>
  <c r="P37" i="1"/>
  <c r="Q37" i="1" s="1"/>
  <c r="G31" i="1"/>
  <c r="J31" i="1" s="1"/>
  <c r="H37" i="1"/>
  <c r="G37" i="1"/>
  <c r="I38" i="1"/>
  <c r="F38" i="1"/>
  <c r="H38" i="1" s="1"/>
  <c r="G32" i="1"/>
  <c r="J32" i="1" s="1"/>
  <c r="I39" i="1"/>
  <c r="F39" i="1"/>
  <c r="H39" i="1" s="1"/>
  <c r="L17" i="1"/>
  <c r="L23" i="1"/>
  <c r="G18" i="1"/>
  <c r="K51" i="1" l="1"/>
  <c r="L51" i="1" s="1"/>
  <c r="K45" i="1"/>
  <c r="L45" i="1" s="1"/>
  <c r="K31" i="1"/>
  <c r="L31" i="1" s="1"/>
  <c r="G39" i="1"/>
  <c r="J39" i="1" s="1"/>
  <c r="J37" i="1"/>
  <c r="G38" i="1"/>
  <c r="J38" i="1" s="1"/>
  <c r="K37" i="1" l="1"/>
  <c r="L37" i="1" s="1"/>
</calcChain>
</file>

<file path=xl/sharedStrings.xml><?xml version="1.0" encoding="utf-8"?>
<sst xmlns="http://schemas.openxmlformats.org/spreadsheetml/2006/main" count="196" uniqueCount="43">
  <si>
    <t>SP</t>
  </si>
  <si>
    <t>MP</t>
  </si>
  <si>
    <t>EP</t>
  </si>
  <si>
    <t>CP</t>
  </si>
  <si>
    <t>X</t>
  </si>
  <si>
    <t>Y</t>
  </si>
  <si>
    <t>Center Adjusted</t>
  </si>
  <si>
    <t>From Center point</t>
  </si>
  <si>
    <t>Radius</t>
  </si>
  <si>
    <t>ArcSin Angle</t>
  </si>
  <si>
    <t>ArcCos Angle</t>
  </si>
  <si>
    <t>Corrected Angle</t>
  </si>
  <si>
    <t>aSin(Y/R)</t>
  </si>
  <si>
    <t>ArcTan Angle</t>
  </si>
  <si>
    <t>aTan(Y/X)</t>
  </si>
  <si>
    <t>If Less than 0, add 180</t>
  </si>
  <si>
    <t xml:space="preserve">Direction </t>
  </si>
  <si>
    <t>AE-AM-AS</t>
  </si>
  <si>
    <t>Direction</t>
  </si>
  <si>
    <t>Reversed</t>
  </si>
  <si>
    <t>A</t>
  </si>
  <si>
    <t>B</t>
  </si>
  <si>
    <t>C</t>
  </si>
  <si>
    <t>D</t>
  </si>
  <si>
    <t>(YC-YS)/(XC-XS)</t>
  </si>
  <si>
    <t>Slope SP from CP</t>
  </si>
  <si>
    <t>Slope MP from CP</t>
  </si>
  <si>
    <t>Slope EP from CP</t>
  </si>
  <si>
    <t>(YC-YM)/(XC-XM)</t>
  </si>
  <si>
    <t>(YC-YE)/(XC-XE)</t>
  </si>
  <si>
    <t xml:space="preserve"> IF K &gt;=0 CCW</t>
  </si>
  <si>
    <t>Vector Subraction</t>
  </si>
  <si>
    <t>Direcdtion</t>
  </si>
  <si>
    <t>If K &gt;=0 then CW</t>
  </si>
  <si>
    <t>K = M-N-O</t>
  </si>
  <si>
    <t>ARC</t>
  </si>
  <si>
    <t>aCos( X/R)</t>
  </si>
  <si>
    <t>Chord X</t>
  </si>
  <si>
    <t>Chord Y</t>
  </si>
  <si>
    <t>Chord Length</t>
  </si>
  <si>
    <t>SQRT((R3-D4)^2+(S3-E4)^2)</t>
  </si>
  <si>
    <t>D3-((D3-D5)/2)</t>
  </si>
  <si>
    <t>E5-((E5-E3)/2)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</si>
</sst>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/>
    <xf numFmtId="164" fontId="0" fillId="0" borderId="1" xfId="0" applyNumberFormat="1" applyBorder="1" applyProtection="1">
      <protection locked="0"/>
    </xf>
    <xf numFmtId="164" fontId="0" fillId="0" borderId="1" xfId="0" applyNumberFormat="1" applyBorder="1"/>
    <xf numFmtId="0" fontId="0" fillId="0" borderId="5" xfId="0" applyBorder="1"/>
    <xf numFmtId="0" fontId="0" fillId="0" borderId="7" xfId="0" applyBorder="1"/>
    <xf numFmtId="164" fontId="0" fillId="0" borderId="8" xfId="0" applyNumberFormat="1" applyBorder="1"/>
    <xf numFmtId="0" fontId="0" fillId="0" borderId="0" xfId="0" applyBorder="1"/>
    <xf numFmtId="164" fontId="0" fillId="0" borderId="0" xfId="0" applyNumberFormat="1" applyBorder="1"/>
    <xf numFmtId="0" fontId="0" fillId="0" borderId="10" xfId="0" applyBorder="1"/>
    <xf numFmtId="164" fontId="0" fillId="0" borderId="11" xfId="0" applyNumberFormat="1" applyBorder="1" applyProtection="1">
      <protection locked="0"/>
    </xf>
    <xf numFmtId="164" fontId="0" fillId="0" borderId="8" xfId="0" applyNumberFormat="1" applyBorder="1" applyProtection="1"/>
    <xf numFmtId="164" fontId="0" fillId="0" borderId="9" xfId="0" applyNumberFormat="1" applyBorder="1" applyProtection="1"/>
    <xf numFmtId="164" fontId="0" fillId="0" borderId="10" xfId="0" applyNumberFormat="1" applyBorder="1" applyProtection="1"/>
    <xf numFmtId="164" fontId="0" fillId="0" borderId="11" xfId="0" applyNumberFormat="1" applyBorder="1" applyProtection="1"/>
    <xf numFmtId="164" fontId="0" fillId="0" borderId="12" xfId="0" applyNumberFormat="1" applyBorder="1" applyProtection="1"/>
    <xf numFmtId="164" fontId="0" fillId="0" borderId="5" xfId="0" applyNumberFormat="1" applyBorder="1" applyProtection="1"/>
    <xf numFmtId="164" fontId="0" fillId="0" borderId="1" xfId="0" applyNumberFormat="1" applyBorder="1" applyProtection="1"/>
    <xf numFmtId="164" fontId="0" fillId="0" borderId="6" xfId="0" applyNumberFormat="1" applyBorder="1" applyProtection="1"/>
    <xf numFmtId="164" fontId="0" fillId="0" borderId="7" xfId="0" applyNumberFormat="1" applyBorder="1" applyProtection="1"/>
    <xf numFmtId="164" fontId="0" fillId="0" borderId="0" xfId="0" applyNumberFormat="1" applyProtection="1"/>
    <xf numFmtId="0" fontId="0" fillId="0" borderId="1" xfId="0" applyBorder="1" applyProtection="1"/>
    <xf numFmtId="0" fontId="0" fillId="0" borderId="15" xfId="0" applyBorder="1" applyProtection="1"/>
    <xf numFmtId="0" fontId="0" fillId="0" borderId="8" xfId="0" applyBorder="1" applyProtection="1"/>
    <xf numFmtId="0" fontId="0" fillId="0" borderId="14" xfId="0" applyBorder="1" applyProtection="1"/>
    <xf numFmtId="0" fontId="0" fillId="0" borderId="0" xfId="0" applyProtection="1"/>
    <xf numFmtId="0" fontId="0" fillId="0" borderId="6" xfId="0" applyBorder="1" applyProtection="1"/>
    <xf numFmtId="0" fontId="0" fillId="0" borderId="9" xfId="0" applyBorder="1" applyProtection="1"/>
    <xf numFmtId="164" fontId="0" fillId="0" borderId="0" xfId="0" applyNumberFormat="1" applyBorder="1" applyProtection="1"/>
    <xf numFmtId="0" fontId="0" fillId="0" borderId="0" xfId="0" applyBorder="1" applyProtection="1"/>
    <xf numFmtId="0" fontId="0" fillId="0" borderId="2" xfId="0" applyBorder="1" applyAlignment="1" applyProtection="1">
      <alignment wrapText="1"/>
      <protection locked="0"/>
    </xf>
    <xf numFmtId="164" fontId="0" fillId="0" borderId="3" xfId="0" applyNumberFormat="1" applyBorder="1" applyAlignment="1" applyProtection="1">
      <alignment wrapText="1"/>
      <protection locked="0"/>
    </xf>
    <xf numFmtId="164" fontId="0" fillId="0" borderId="3" xfId="0" applyNumberFormat="1" applyBorder="1" applyAlignment="1" applyProtection="1">
      <alignment wrapText="1"/>
    </xf>
    <xf numFmtId="164" fontId="0" fillId="0" borderId="13" xfId="0" applyNumberFormat="1" applyBorder="1" applyAlignment="1" applyProtection="1">
      <alignment wrapText="1"/>
    </xf>
    <xf numFmtId="164" fontId="0" fillId="0" borderId="2" xfId="0" applyNumberFormat="1" applyFill="1" applyBorder="1" applyAlignment="1" applyProtection="1">
      <alignment wrapText="1"/>
    </xf>
    <xf numFmtId="164" fontId="0" fillId="0" borderId="3" xfId="0" applyNumberFormat="1" applyFill="1" applyBorder="1" applyAlignment="1" applyProtection="1">
      <alignment wrapText="1"/>
    </xf>
    <xf numFmtId="164" fontId="0" fillId="0" borderId="4" xfId="0" applyNumberFormat="1" applyBorder="1" applyAlignment="1" applyProtection="1">
      <alignment wrapText="1"/>
    </xf>
    <xf numFmtId="0" fontId="0" fillId="0" borderId="7" xfId="0" applyBorder="1" applyAlignment="1" applyProtection="1">
      <alignment wrapText="1"/>
      <protection locked="0"/>
    </xf>
    <xf numFmtId="164" fontId="0" fillId="0" borderId="8" xfId="0" applyNumberFormat="1" applyBorder="1" applyAlignment="1" applyProtection="1">
      <alignment wrapText="1"/>
      <protection locked="0"/>
    </xf>
    <xf numFmtId="164" fontId="0" fillId="0" borderId="8" xfId="0" applyNumberFormat="1" applyBorder="1" applyAlignment="1" applyProtection="1">
      <alignment wrapText="1"/>
    </xf>
    <xf numFmtId="164" fontId="0" fillId="0" borderId="14" xfId="0" applyNumberFormat="1" applyBorder="1" applyAlignment="1" applyProtection="1">
      <alignment wrapText="1"/>
    </xf>
    <xf numFmtId="164" fontId="0" fillId="0" borderId="7" xfId="0" applyNumberFormat="1" applyFill="1" applyBorder="1" applyAlignment="1" applyProtection="1">
      <alignment wrapText="1"/>
    </xf>
    <xf numFmtId="164" fontId="0" fillId="0" borderId="9" xfId="0" applyNumberFormat="1" applyBorder="1" applyAlignment="1" applyProtection="1">
      <alignment wrapText="1"/>
    </xf>
    <xf numFmtId="164" fontId="0" fillId="0" borderId="16" xfId="0" applyNumberFormat="1" applyBorder="1" applyProtection="1"/>
    <xf numFmtId="164" fontId="0" fillId="0" borderId="15" xfId="0" applyNumberFormat="1" applyBorder="1" applyProtection="1"/>
    <xf numFmtId="164" fontId="0" fillId="0" borderId="14" xfId="0" applyNumberFormat="1" applyBorder="1" applyProtection="1"/>
    <xf numFmtId="0" fontId="0" fillId="0" borderId="1" xfId="0" applyBorder="1"/>
    <xf numFmtId="164" fontId="0" fillId="0" borderId="4" xfId="0" applyNumberFormat="1" applyFill="1" applyBorder="1" applyAlignment="1" applyProtection="1">
      <alignment wrapText="1"/>
    </xf>
    <xf numFmtId="0" fontId="0" fillId="0" borderId="6" xfId="0" applyBorder="1"/>
    <xf numFmtId="164" fontId="0" fillId="0" borderId="5" xfId="0" applyNumberFormat="1" applyBorder="1"/>
    <xf numFmtId="0" fontId="0" fillId="0" borderId="8" xfId="0" applyBorder="1"/>
    <xf numFmtId="0" fontId="0" fillId="0" borderId="9" xfId="0" applyBorder="1"/>
    <xf numFmtId="164" fontId="0" fillId="0" borderId="10" xfId="0" applyNumberFormat="1" applyBorder="1"/>
    <xf numFmtId="164" fontId="0" fillId="0" borderId="11" xfId="0" applyNumberFormat="1" applyBorder="1"/>
    <xf numFmtId="0" fontId="0" fillId="0" borderId="11" xfId="0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zoomScaleNormal="100" workbookViewId="0">
      <pane xSplit="6795" ySplit="2070" topLeftCell="M3" activePane="bottomLeft"/>
      <selection activeCell="B3" sqref="B3"/>
      <selection pane="topRight" activeCell="R1" sqref="R1:U13"/>
      <selection pane="bottomLeft" activeCell="B3" sqref="B3"/>
      <selection pane="bottomRight" activeCell="Y43" sqref="Y43"/>
    </sheetView>
  </sheetViews>
  <sheetFormatPr defaultRowHeight="15" x14ac:dyDescent="0.25"/>
  <cols>
    <col min="1" max="1" width="10.7109375" customWidth="1"/>
    <col min="2" max="6" width="10" style="1" customWidth="1"/>
    <col min="7" max="7" width="12.140625" style="1" customWidth="1"/>
    <col min="8" max="8" width="11.140625" style="1" customWidth="1"/>
    <col min="9" max="9" width="11" style="1" customWidth="1"/>
    <col min="10" max="10" width="10" style="1" customWidth="1"/>
    <col min="11" max="11" width="10" customWidth="1"/>
    <col min="12" max="17" width="17.28515625" customWidth="1"/>
    <col min="18" max="18" width="10.5703125" customWidth="1"/>
    <col min="19" max="19" width="10.7109375" customWidth="1"/>
    <col min="20" max="20" width="13.85546875" customWidth="1"/>
    <col min="21" max="21" width="18.140625" customWidth="1"/>
  </cols>
  <sheetData>
    <row r="1" spans="1:21" ht="45" x14ac:dyDescent="0.25">
      <c r="A1" s="30" t="s">
        <v>35</v>
      </c>
      <c r="B1" s="31" t="s">
        <v>20</v>
      </c>
      <c r="C1" s="31"/>
      <c r="D1" s="32" t="s">
        <v>6</v>
      </c>
      <c r="E1" s="32"/>
      <c r="F1" s="32" t="s">
        <v>7</v>
      </c>
      <c r="G1" s="32" t="s">
        <v>10</v>
      </c>
      <c r="H1" s="32" t="s">
        <v>9</v>
      </c>
      <c r="I1" s="32" t="s">
        <v>13</v>
      </c>
      <c r="J1" s="32" t="s">
        <v>11</v>
      </c>
      <c r="K1" s="32" t="s">
        <v>16</v>
      </c>
      <c r="L1" s="33" t="s">
        <v>18</v>
      </c>
      <c r="M1" s="34" t="s">
        <v>25</v>
      </c>
      <c r="N1" s="35" t="s">
        <v>26</v>
      </c>
      <c r="O1" s="35" t="s">
        <v>27</v>
      </c>
      <c r="P1" s="35" t="s">
        <v>31</v>
      </c>
      <c r="Q1" s="33" t="s">
        <v>32</v>
      </c>
      <c r="R1" s="34" t="s">
        <v>37</v>
      </c>
      <c r="S1" s="35" t="s">
        <v>38</v>
      </c>
      <c r="T1" s="35" t="s">
        <v>39</v>
      </c>
      <c r="U1" s="47" t="s">
        <v>18</v>
      </c>
    </row>
    <row r="2" spans="1:21" ht="45.75" thickBot="1" x14ac:dyDescent="0.3">
      <c r="A2" s="37"/>
      <c r="B2" s="38" t="s">
        <v>4</v>
      </c>
      <c r="C2" s="38" t="s">
        <v>5</v>
      </c>
      <c r="D2" s="39" t="s">
        <v>4</v>
      </c>
      <c r="E2" s="39" t="s">
        <v>5</v>
      </c>
      <c r="F2" s="39" t="s">
        <v>8</v>
      </c>
      <c r="G2" s="39" t="s">
        <v>36</v>
      </c>
      <c r="H2" s="39" t="s">
        <v>12</v>
      </c>
      <c r="I2" s="39" t="s">
        <v>14</v>
      </c>
      <c r="J2" s="39" t="s">
        <v>15</v>
      </c>
      <c r="K2" s="39" t="s">
        <v>17</v>
      </c>
      <c r="L2" s="40" t="s">
        <v>30</v>
      </c>
      <c r="M2" s="41" t="s">
        <v>24</v>
      </c>
      <c r="N2" s="39" t="s">
        <v>28</v>
      </c>
      <c r="O2" s="39" t="s">
        <v>29</v>
      </c>
      <c r="P2" s="39" t="s">
        <v>34</v>
      </c>
      <c r="Q2" s="40" t="s">
        <v>33</v>
      </c>
      <c r="R2" s="56" t="s">
        <v>41</v>
      </c>
      <c r="S2" s="57" t="s">
        <v>42</v>
      </c>
      <c r="T2" s="57" t="s">
        <v>40</v>
      </c>
      <c r="U2" s="58"/>
    </row>
    <row r="3" spans="1:21" x14ac:dyDescent="0.25">
      <c r="A3" s="9" t="s">
        <v>0</v>
      </c>
      <c r="B3" s="10">
        <v>4.7131999999999996</v>
      </c>
      <c r="C3" s="10">
        <v>3.2467999999999999</v>
      </c>
      <c r="D3" s="14">
        <f>B3-B6</f>
        <v>1.2499999999999996</v>
      </c>
      <c r="E3" s="14">
        <f>C3-C6</f>
        <v>0</v>
      </c>
      <c r="F3" s="14">
        <f>ROUNDUP(SQRT((D3^2)+(E3^2)),4)</f>
        <v>1.25</v>
      </c>
      <c r="G3" s="17">
        <f>ROUNDUP(ACOS((D3/F3))*(180/3.1415926),4)</f>
        <v>1E-4</v>
      </c>
      <c r="H3" s="17">
        <f>ROUNDUP(ASIN((E3/F3))*(180/3.1415926),4)</f>
        <v>0</v>
      </c>
      <c r="I3" s="14">
        <f>IF(D3&lt;&gt;0,ROUNDUP(ATAN(E3/D3)*(180/3.1415926),4),90)</f>
        <v>0</v>
      </c>
      <c r="J3" s="17">
        <f>IF((I3*H3*G3)&gt;=0,I3,180+I3)</f>
        <v>0</v>
      </c>
      <c r="K3" s="17">
        <f>((J5-90)-(J4-90)-(J3-90))</f>
        <v>147.5027</v>
      </c>
      <c r="L3" s="26" t="str">
        <f>IF(K3&gt;=0,"CCW","CW")</f>
        <v>CCW</v>
      </c>
      <c r="M3" s="13">
        <f>IF(B3&lt;&gt;B6,(C6-C3)/(B6-B3),100)</f>
        <v>0</v>
      </c>
      <c r="N3" s="14">
        <f>IF(B4&lt;&gt;B6,(C6-C4)/(B6-B4),100)</f>
        <v>1.5696843359142345</v>
      </c>
      <c r="O3" s="14">
        <f>IF(B5&lt;&gt;B6,(C6-C5)/(B6-B5),100)</f>
        <v>-2.1442362294151041</v>
      </c>
      <c r="P3" s="14">
        <f>O3-N3-M3</f>
        <v>-3.7139205653293388</v>
      </c>
      <c r="Q3" s="43" t="str">
        <f>IF(P3&gt;=0,"CW","CCW")</f>
        <v>CCW</v>
      </c>
      <c r="R3" s="52">
        <f>D3-((D3-D5)/2)</f>
        <v>0.36084999999999967</v>
      </c>
      <c r="S3" s="53">
        <f>E5-((E5-E3)/2)</f>
        <v>0.56640000000000001</v>
      </c>
      <c r="T3" s="54">
        <f>SQRT((R3-D4)^2+(S3-E4)^2)</f>
        <v>0.5783722006632066</v>
      </c>
      <c r="U3" s="55" t="str">
        <f>IF(T3&gt;=F3,"Inverted","Normal")</f>
        <v>Normal</v>
      </c>
    </row>
    <row r="4" spans="1:21" x14ac:dyDescent="0.25">
      <c r="A4" s="4" t="s">
        <v>1</v>
      </c>
      <c r="B4" s="2">
        <v>4.1348000000000003</v>
      </c>
      <c r="C4" s="2">
        <v>4.3010000000000002</v>
      </c>
      <c r="D4" s="17">
        <f>B4-B6</f>
        <v>0.6716000000000002</v>
      </c>
      <c r="E4" s="17">
        <f>C4-C6</f>
        <v>1.0542000000000002</v>
      </c>
      <c r="F4" s="17">
        <f>ROUNDUP(SQRT((D4^2)+(E4^2)),4)</f>
        <v>1.25</v>
      </c>
      <c r="G4" s="17">
        <f t="shared" ref="G4:G5" si="0">ROUNDUP(ACOS((D4/F4))*(180/3.1415926),4)</f>
        <v>57.501400000000004</v>
      </c>
      <c r="H4" s="17">
        <f t="shared" ref="H4:H5" si="1">ROUNDUP(ASIN((E4/F4))*(180/3.1415926),4)</f>
        <v>57.496700000000004</v>
      </c>
      <c r="I4" s="14">
        <f t="shared" ref="I4:I5" si="2">IF(D4&lt;&gt;0,ROUNDUP(ATAN(E4/D4)*(180/3.1415926),4),90)</f>
        <v>57.5</v>
      </c>
      <c r="J4" s="17">
        <f>IF((I4*H4*G4)&gt;=0,I4,180+I4)</f>
        <v>57.5</v>
      </c>
      <c r="K4" s="21"/>
      <c r="L4" s="26"/>
      <c r="M4" s="16"/>
      <c r="N4" s="17"/>
      <c r="O4" s="17"/>
      <c r="P4" s="17"/>
      <c r="Q4" s="44"/>
      <c r="R4" s="4"/>
      <c r="S4" s="46"/>
      <c r="T4" s="46"/>
      <c r="U4" s="48"/>
    </row>
    <row r="5" spans="1:21" x14ac:dyDescent="0.25">
      <c r="A5" s="4" t="s">
        <v>2</v>
      </c>
      <c r="B5" s="2">
        <v>2.9348999999999998</v>
      </c>
      <c r="C5" s="2">
        <v>4.3795999999999999</v>
      </c>
      <c r="D5" s="17">
        <f>B5-B6</f>
        <v>-0.52830000000000021</v>
      </c>
      <c r="E5" s="17">
        <f>C5-C6</f>
        <v>1.1328</v>
      </c>
      <c r="F5" s="17">
        <f>ROUNDUP(SQRT((D5^2)+(E5^2)),4)</f>
        <v>1.25</v>
      </c>
      <c r="G5" s="17">
        <f t="shared" si="0"/>
        <v>115.0014</v>
      </c>
      <c r="H5" s="17">
        <f t="shared" si="1"/>
        <v>64.990899999999996</v>
      </c>
      <c r="I5" s="14">
        <f t="shared" si="2"/>
        <v>-64.99730000000001</v>
      </c>
      <c r="J5" s="17">
        <f>IF((I5*H5*G5)&gt;=0,I5,180+I5)</f>
        <v>115.00269999999999</v>
      </c>
      <c r="K5" s="21"/>
      <c r="L5" s="26"/>
      <c r="M5" s="16"/>
      <c r="N5" s="17"/>
      <c r="O5" s="17"/>
      <c r="P5" s="17"/>
      <c r="Q5" s="44"/>
      <c r="R5" s="4"/>
      <c r="S5" s="46"/>
      <c r="T5" s="46"/>
      <c r="U5" s="48"/>
    </row>
    <row r="6" spans="1:21" x14ac:dyDescent="0.25">
      <c r="A6" s="4" t="s">
        <v>3</v>
      </c>
      <c r="B6" s="2">
        <v>3.4632000000000001</v>
      </c>
      <c r="C6" s="2">
        <v>3.2467999999999999</v>
      </c>
      <c r="D6" s="17"/>
      <c r="E6" s="17"/>
      <c r="F6" s="17"/>
      <c r="G6" s="17"/>
      <c r="H6" s="17"/>
      <c r="I6" s="17"/>
      <c r="J6" s="17"/>
      <c r="K6" s="21"/>
      <c r="L6" s="26"/>
      <c r="M6" s="16"/>
      <c r="N6" s="17"/>
      <c r="O6" s="17"/>
      <c r="P6" s="17"/>
      <c r="Q6" s="44"/>
      <c r="R6" s="4"/>
      <c r="S6" s="46"/>
      <c r="T6" s="46"/>
      <c r="U6" s="48"/>
    </row>
    <row r="7" spans="1:21" x14ac:dyDescent="0.25">
      <c r="A7" s="4"/>
      <c r="B7" s="3"/>
      <c r="C7" s="3"/>
      <c r="D7" s="17"/>
      <c r="E7" s="17"/>
      <c r="F7" s="17"/>
      <c r="G7" s="17"/>
      <c r="H7" s="17"/>
      <c r="I7" s="17"/>
      <c r="J7" s="17"/>
      <c r="K7" s="21"/>
      <c r="L7" s="26"/>
      <c r="M7" s="16"/>
      <c r="N7" s="17"/>
      <c r="O7" s="17"/>
      <c r="P7" s="17"/>
      <c r="Q7" s="44"/>
      <c r="R7" s="4"/>
      <c r="S7" s="46"/>
      <c r="T7" s="46"/>
      <c r="U7" s="48"/>
    </row>
    <row r="8" spans="1:21" x14ac:dyDescent="0.25">
      <c r="A8" s="4" t="s">
        <v>19</v>
      </c>
      <c r="B8" s="3" t="s">
        <v>4</v>
      </c>
      <c r="C8" s="3" t="s">
        <v>5</v>
      </c>
      <c r="D8" s="17"/>
      <c r="E8" s="17"/>
      <c r="F8" s="17"/>
      <c r="G8" s="17"/>
      <c r="H8" s="17"/>
      <c r="I8" s="17"/>
      <c r="J8" s="17"/>
      <c r="K8" s="21"/>
      <c r="L8" s="26"/>
      <c r="M8" s="16"/>
      <c r="N8" s="17"/>
      <c r="O8" s="17"/>
      <c r="P8" s="17"/>
      <c r="Q8" s="44"/>
      <c r="R8" s="4"/>
      <c r="S8" s="46"/>
      <c r="T8" s="46"/>
      <c r="U8" s="48"/>
    </row>
    <row r="9" spans="1:21" x14ac:dyDescent="0.25">
      <c r="A9" s="4" t="s">
        <v>0</v>
      </c>
      <c r="B9" s="17">
        <f>B5</f>
        <v>2.9348999999999998</v>
      </c>
      <c r="C9" s="17">
        <f>C5</f>
        <v>4.3795999999999999</v>
      </c>
      <c r="D9" s="17">
        <f>B9-B12</f>
        <v>-0.52830000000000021</v>
      </c>
      <c r="E9" s="17">
        <f>C9-C12</f>
        <v>1.1328</v>
      </c>
      <c r="F9" s="17">
        <f>ROUNDUP(SQRT((D9^2)+(E9^2)),4)</f>
        <v>1.25</v>
      </c>
      <c r="G9" s="17">
        <f>ROUNDUP(ACOS((D9/F9))*(180/3.1415926),4)</f>
        <v>115.0014</v>
      </c>
      <c r="H9" s="17">
        <f>ROUNDUP(ASIN((E9/F9))*(180/3.1415926),4)</f>
        <v>64.990899999999996</v>
      </c>
      <c r="I9" s="14">
        <f>IF(D9&lt;&gt;0,ROUNDUP(ATAN(E9/D9)*(180/3.1415926),4),90)</f>
        <v>-64.99730000000001</v>
      </c>
      <c r="J9" s="17">
        <f>IF((I9*H9*G9)&gt;=0,I9,180+I9)</f>
        <v>115.00269999999999</v>
      </c>
      <c r="K9" s="17">
        <f>((J11-90)-(J10-90)-(J9-90))</f>
        <v>-82.50269999999999</v>
      </c>
      <c r="L9" s="26" t="str">
        <f>IF(K9&gt;=0,"CCW","CW")</f>
        <v>CW</v>
      </c>
      <c r="M9" s="13">
        <f>IF(B9&lt;&gt;B12,(C12-C9)/(B12-B9),100)</f>
        <v>-2.1442362294151041</v>
      </c>
      <c r="N9" s="14">
        <f>IF(B10&lt;&gt;B12,(C12-C10)/(B12-B10),100)</f>
        <v>1.5696843359142345</v>
      </c>
      <c r="O9" s="14">
        <f>IF(B11&lt;&gt;B12,(C12-C11)/(B12-B11),100)</f>
        <v>0</v>
      </c>
      <c r="P9" s="17">
        <f>O9-N9-M9</f>
        <v>0.57455189350086955</v>
      </c>
      <c r="Q9" s="44" t="str">
        <f>IF(P9&gt;=0,"CW","CCW")</f>
        <v>CW</v>
      </c>
      <c r="R9" s="49">
        <f>D9-((D9-D11)/2)</f>
        <v>0.36084999999999967</v>
      </c>
      <c r="S9" s="3">
        <f>E11-((E11-E9)/2)</f>
        <v>0.56640000000000001</v>
      </c>
      <c r="T9" s="46">
        <f>SQRT((R9-D10)^2+(S9-E10)^2)</f>
        <v>0.5783722006632066</v>
      </c>
      <c r="U9" s="48" t="str">
        <f>IF(T9&gt;=F9,"Inverted","Normal")</f>
        <v>Normal</v>
      </c>
    </row>
    <row r="10" spans="1:21" x14ac:dyDescent="0.25">
      <c r="A10" s="4" t="s">
        <v>1</v>
      </c>
      <c r="B10" s="17">
        <f>B4</f>
        <v>4.1348000000000003</v>
      </c>
      <c r="C10" s="17">
        <f>C4</f>
        <v>4.3010000000000002</v>
      </c>
      <c r="D10" s="17">
        <f>B10-B12</f>
        <v>0.6716000000000002</v>
      </c>
      <c r="E10" s="17">
        <f>C10-C12</f>
        <v>1.0542000000000002</v>
      </c>
      <c r="F10" s="17">
        <f>ROUNDUP(SQRT((D10^2)+(E10^2)),4)</f>
        <v>1.25</v>
      </c>
      <c r="G10" s="17">
        <f t="shared" ref="G10:G11" si="3">ROUNDUP(ACOS((D10/F10))*(180/3.1415926),4)</f>
        <v>57.501400000000004</v>
      </c>
      <c r="H10" s="17">
        <f t="shared" ref="H10:H11" si="4">ROUNDUP(ASIN((E10/F10))*(180/3.1415926),4)</f>
        <v>57.496700000000004</v>
      </c>
      <c r="I10" s="14">
        <f t="shared" ref="I10:I11" si="5">IF(D10&lt;&gt;0,ROUNDUP(ATAN(E10/D10)*(180/3.1415926),4),90)</f>
        <v>57.5</v>
      </c>
      <c r="J10" s="17">
        <f>IF((I10*H10*G10)&gt;=0,I10,180+I10)</f>
        <v>57.5</v>
      </c>
      <c r="K10" s="21"/>
      <c r="L10" s="26"/>
      <c r="M10" s="16"/>
      <c r="N10" s="17"/>
      <c r="O10" s="17"/>
      <c r="P10" s="17"/>
      <c r="Q10" s="44"/>
      <c r="R10" s="4"/>
      <c r="S10" s="46"/>
      <c r="T10" s="46"/>
      <c r="U10" s="48"/>
    </row>
    <row r="11" spans="1:21" x14ac:dyDescent="0.25">
      <c r="A11" s="4" t="s">
        <v>2</v>
      </c>
      <c r="B11" s="17">
        <f>B3</f>
        <v>4.7131999999999996</v>
      </c>
      <c r="C11" s="17">
        <f>C3</f>
        <v>3.2467999999999999</v>
      </c>
      <c r="D11" s="17">
        <f>B11-B12</f>
        <v>1.2499999999999996</v>
      </c>
      <c r="E11" s="17">
        <f>C11-C12</f>
        <v>0</v>
      </c>
      <c r="F11" s="17">
        <f>ROUNDUP(SQRT((D11^2)+(E11^2)),4)</f>
        <v>1.25</v>
      </c>
      <c r="G11" s="17">
        <f t="shared" si="3"/>
        <v>1E-4</v>
      </c>
      <c r="H11" s="17">
        <f t="shared" si="4"/>
        <v>0</v>
      </c>
      <c r="I11" s="14">
        <f t="shared" si="5"/>
        <v>0</v>
      </c>
      <c r="J11" s="17">
        <f>IF((I11*H11*G11)&gt;=0,I11,180+I11)</f>
        <v>0</v>
      </c>
      <c r="K11" s="21"/>
      <c r="L11" s="26"/>
      <c r="M11" s="16"/>
      <c r="N11" s="17"/>
      <c r="O11" s="17"/>
      <c r="P11" s="17"/>
      <c r="Q11" s="44"/>
      <c r="R11" s="4"/>
      <c r="S11" s="46"/>
      <c r="T11" s="46"/>
      <c r="U11" s="48"/>
    </row>
    <row r="12" spans="1:21" x14ac:dyDescent="0.25">
      <c r="A12" s="4" t="s">
        <v>3</v>
      </c>
      <c r="B12" s="17">
        <f>B6</f>
        <v>3.4632000000000001</v>
      </c>
      <c r="C12" s="17">
        <f>C6</f>
        <v>3.2467999999999999</v>
      </c>
      <c r="D12" s="17"/>
      <c r="E12" s="17"/>
      <c r="F12" s="17"/>
      <c r="G12" s="17"/>
      <c r="H12" s="17"/>
      <c r="I12" s="17"/>
      <c r="J12" s="17"/>
      <c r="K12" s="21"/>
      <c r="L12" s="22"/>
      <c r="M12" s="16"/>
      <c r="N12" s="17"/>
      <c r="O12" s="17"/>
      <c r="P12" s="17"/>
      <c r="Q12" s="44"/>
      <c r="R12" s="4"/>
      <c r="S12" s="46"/>
      <c r="T12" s="46"/>
      <c r="U12" s="48"/>
    </row>
    <row r="13" spans="1:21" ht="15.75" thickBot="1" x14ac:dyDescent="0.3">
      <c r="A13" s="5"/>
      <c r="B13" s="6"/>
      <c r="C13" s="6"/>
      <c r="D13" s="11"/>
      <c r="E13" s="11"/>
      <c r="F13" s="11"/>
      <c r="G13" s="11"/>
      <c r="H13" s="11"/>
      <c r="I13" s="11"/>
      <c r="J13" s="11"/>
      <c r="K13" s="23"/>
      <c r="L13" s="24"/>
      <c r="M13" s="19"/>
      <c r="N13" s="11"/>
      <c r="O13" s="11"/>
      <c r="P13" s="11"/>
      <c r="Q13" s="45"/>
      <c r="R13" s="5"/>
      <c r="S13" s="50"/>
      <c r="T13" s="50"/>
      <c r="U13" s="51"/>
    </row>
    <row r="14" spans="1:21" ht="15.75" thickBot="1" x14ac:dyDescent="0.3">
      <c r="D14" s="20"/>
      <c r="E14" s="20"/>
      <c r="F14" s="20"/>
      <c r="G14" s="20"/>
      <c r="H14" s="20"/>
      <c r="I14" s="20"/>
      <c r="J14" s="20"/>
      <c r="K14" s="25"/>
      <c r="L14" s="25"/>
      <c r="M14" s="20"/>
      <c r="N14" s="20"/>
      <c r="O14" s="20"/>
      <c r="P14" s="20"/>
      <c r="Q14" s="20"/>
    </row>
    <row r="15" spans="1:21" ht="45" x14ac:dyDescent="0.25">
      <c r="A15" s="30" t="s">
        <v>35</v>
      </c>
      <c r="B15" s="31" t="s">
        <v>21</v>
      </c>
      <c r="C15" s="31"/>
      <c r="D15" s="32" t="s">
        <v>6</v>
      </c>
      <c r="E15" s="32"/>
      <c r="F15" s="32" t="s">
        <v>7</v>
      </c>
      <c r="G15" s="32" t="s">
        <v>10</v>
      </c>
      <c r="H15" s="32" t="s">
        <v>9</v>
      </c>
      <c r="I15" s="32" t="s">
        <v>13</v>
      </c>
      <c r="J15" s="32" t="s">
        <v>11</v>
      </c>
      <c r="K15" s="32" t="s">
        <v>16</v>
      </c>
      <c r="L15" s="33" t="s">
        <v>18</v>
      </c>
      <c r="M15" s="34" t="s">
        <v>25</v>
      </c>
      <c r="N15" s="35" t="s">
        <v>26</v>
      </c>
      <c r="O15" s="35" t="s">
        <v>27</v>
      </c>
      <c r="P15" s="35" t="s">
        <v>31</v>
      </c>
      <c r="Q15" s="36" t="s">
        <v>32</v>
      </c>
      <c r="R15" s="34" t="s">
        <v>37</v>
      </c>
      <c r="S15" s="35" t="s">
        <v>38</v>
      </c>
      <c r="T15" s="35" t="s">
        <v>39</v>
      </c>
      <c r="U15" s="47" t="s">
        <v>18</v>
      </c>
    </row>
    <row r="16" spans="1:21" ht="45.75" thickBot="1" x14ac:dyDescent="0.3">
      <c r="A16" s="37"/>
      <c r="B16" s="38" t="s">
        <v>4</v>
      </c>
      <c r="C16" s="38" t="s">
        <v>5</v>
      </c>
      <c r="D16" s="39" t="s">
        <v>4</v>
      </c>
      <c r="E16" s="39" t="s">
        <v>5</v>
      </c>
      <c r="F16" s="39" t="s">
        <v>8</v>
      </c>
      <c r="G16" s="39" t="s">
        <v>36</v>
      </c>
      <c r="H16" s="39" t="s">
        <v>12</v>
      </c>
      <c r="I16" s="39" t="s">
        <v>14</v>
      </c>
      <c r="J16" s="39" t="s">
        <v>15</v>
      </c>
      <c r="K16" s="39" t="s">
        <v>17</v>
      </c>
      <c r="L16" s="40" t="s">
        <v>30</v>
      </c>
      <c r="M16" s="41" t="s">
        <v>24</v>
      </c>
      <c r="N16" s="39" t="s">
        <v>28</v>
      </c>
      <c r="O16" s="39" t="s">
        <v>29</v>
      </c>
      <c r="P16" s="39" t="s">
        <v>34</v>
      </c>
      <c r="Q16" s="42" t="s">
        <v>33</v>
      </c>
      <c r="R16" s="56" t="s">
        <v>41</v>
      </c>
      <c r="S16" s="57" t="s">
        <v>42</v>
      </c>
      <c r="T16" s="57" t="s">
        <v>40</v>
      </c>
      <c r="U16" s="58"/>
    </row>
    <row r="17" spans="1:21" x14ac:dyDescent="0.25">
      <c r="A17" s="4" t="s">
        <v>0</v>
      </c>
      <c r="B17" s="2">
        <v>-2.8283</v>
      </c>
      <c r="C17" s="2">
        <v>4.0206</v>
      </c>
      <c r="D17" s="17">
        <f>B17-B20</f>
        <v>0</v>
      </c>
      <c r="E17" s="17">
        <f>C17-C20</f>
        <v>1.25</v>
      </c>
      <c r="F17" s="17">
        <f>ROUNDUP(SQRT((D17^2)+(E17^2)),4)</f>
        <v>1.25</v>
      </c>
      <c r="G17" s="17">
        <f>ROUNDUP(ACOS((D17/F17))*(180/3.1415926),4)</f>
        <v>90.000100000000003</v>
      </c>
      <c r="H17" s="17">
        <f>ROUNDUP(ASIN((E17/F17))*(180/3.1415926),4)</f>
        <v>90.000100000000003</v>
      </c>
      <c r="I17" s="14">
        <f>IF(D17&lt;&gt;0,ROUNDUP(ATAN(E17/D17)*(180/3.1415926),4),90)</f>
        <v>90</v>
      </c>
      <c r="J17" s="17">
        <f>IF((I17*H17*G17)&gt;=0,I17,180+I17)</f>
        <v>90</v>
      </c>
      <c r="K17" s="17">
        <f>((J19-90)-(J18-90)-(J17-90))</f>
        <v>67.498700000000014</v>
      </c>
      <c r="L17" s="26" t="str">
        <f>IF(K17&gt;=0,"CCW","CW")</f>
        <v>CCW</v>
      </c>
      <c r="M17" s="13">
        <f>IF(B17&lt;&gt;B20,(C20-C17)/(B20-B17),100)</f>
        <v>100</v>
      </c>
      <c r="N17" s="14">
        <f>IF(B18&lt;&gt;B20,(C20-C18)/(B20-B18),100)</f>
        <v>-0.41418427433321792</v>
      </c>
      <c r="O17" s="14">
        <f>IF(B19&lt;&gt;B20,(C20-C19)/(B20-B19),100)</f>
        <v>0.99999999999999978</v>
      </c>
      <c r="P17" s="14">
        <f>O17-N17-M17</f>
        <v>-98.585815725666777</v>
      </c>
      <c r="Q17" s="15" t="str">
        <f>IF(P17&gt;=0,"CW","CCW")</f>
        <v>CCW</v>
      </c>
      <c r="R17" s="52">
        <f>D17-((D17-D19)/2)</f>
        <v>-0.44195000000000007</v>
      </c>
      <c r="S17" s="53">
        <f>E19-((E19-E17)/2)</f>
        <v>0.18304999999999993</v>
      </c>
      <c r="T17" s="54">
        <f>SQRT((R17-D18)^2+(S17-E18)^2)</f>
        <v>0.771574808427543</v>
      </c>
      <c r="U17" s="55" t="str">
        <f>IF(T17&gt;=F17,"Inverted","Normal")</f>
        <v>Normal</v>
      </c>
    </row>
    <row r="18" spans="1:21" x14ac:dyDescent="0.25">
      <c r="A18" s="4" t="s">
        <v>1</v>
      </c>
      <c r="B18" s="2">
        <v>-3.9830999999999999</v>
      </c>
      <c r="C18" s="2">
        <v>3.2488999999999999</v>
      </c>
      <c r="D18" s="17">
        <f>B18-B20</f>
        <v>-1.1547999999999998</v>
      </c>
      <c r="E18" s="17">
        <f>C18-C20</f>
        <v>0.47829999999999995</v>
      </c>
      <c r="F18" s="17">
        <f>ROUNDUP(SQRT((D18^2)+(E18^2)),4)</f>
        <v>1.25</v>
      </c>
      <c r="G18" s="17">
        <f t="shared" ref="G18:G19" si="6">ROUNDUP(ACOS((D18/F18))*(180/3.1415926),4)</f>
        <v>157.4941</v>
      </c>
      <c r="H18" s="17">
        <f t="shared" ref="H18:H19" si="7">ROUNDUP(ASIN((E18/F18))*(180/3.1415926),4)</f>
        <v>22.497399999999999</v>
      </c>
      <c r="I18" s="14">
        <f t="shared" ref="I18:I19" si="8">IF(D18&lt;&gt;0,ROUNDUP(ATAN(E18/D18)*(180/3.1415926),4),90)</f>
        <v>-22.4986</v>
      </c>
      <c r="J18" s="17">
        <f>IF((I18*H18*G18)&gt;=0,I18,180+I18)</f>
        <v>157.50139999999999</v>
      </c>
      <c r="K18" s="21"/>
      <c r="L18" s="26"/>
      <c r="M18" s="16"/>
      <c r="N18" s="17"/>
      <c r="O18" s="17"/>
      <c r="P18" s="17"/>
      <c r="Q18" s="18"/>
      <c r="R18" s="4"/>
      <c r="S18" s="46"/>
      <c r="T18" s="46"/>
      <c r="U18" s="48"/>
    </row>
    <row r="19" spans="1:21" x14ac:dyDescent="0.25">
      <c r="A19" s="4" t="s">
        <v>2</v>
      </c>
      <c r="B19" s="2">
        <v>-3.7122000000000002</v>
      </c>
      <c r="C19" s="2">
        <v>1.8867</v>
      </c>
      <c r="D19" s="17">
        <f>B19-B20</f>
        <v>-0.88390000000000013</v>
      </c>
      <c r="E19" s="17">
        <f>C19-C20</f>
        <v>-0.88389999999999991</v>
      </c>
      <c r="F19" s="17">
        <f>ROUNDUP(SQRT((D19^2)+(E19^2)),4)</f>
        <v>1.2501</v>
      </c>
      <c r="G19" s="17">
        <f t="shared" si="6"/>
        <v>134.9965</v>
      </c>
      <c r="H19" s="17">
        <f t="shared" si="7"/>
        <v>-44.996500000000005</v>
      </c>
      <c r="I19" s="14">
        <f t="shared" si="8"/>
        <v>45.000100000000003</v>
      </c>
      <c r="J19" s="17">
        <f>IF((I19*H19*G19)&gt;=0,I19,180+I19)</f>
        <v>225.0001</v>
      </c>
      <c r="K19" s="21"/>
      <c r="L19" s="26"/>
      <c r="M19" s="16"/>
      <c r="N19" s="17"/>
      <c r="O19" s="17"/>
      <c r="P19" s="17"/>
      <c r="Q19" s="18"/>
      <c r="R19" s="4"/>
      <c r="S19" s="46"/>
      <c r="T19" s="46"/>
      <c r="U19" s="48"/>
    </row>
    <row r="20" spans="1:21" x14ac:dyDescent="0.25">
      <c r="A20" s="4" t="s">
        <v>3</v>
      </c>
      <c r="B20" s="2">
        <v>-2.8283</v>
      </c>
      <c r="C20" s="2">
        <v>2.7706</v>
      </c>
      <c r="D20" s="17"/>
      <c r="E20" s="17"/>
      <c r="F20" s="17"/>
      <c r="G20" s="17"/>
      <c r="H20" s="17"/>
      <c r="I20" s="17"/>
      <c r="J20" s="17"/>
      <c r="K20" s="21"/>
      <c r="L20" s="26"/>
      <c r="M20" s="16"/>
      <c r="N20" s="17"/>
      <c r="O20" s="17"/>
      <c r="P20" s="17"/>
      <c r="Q20" s="18"/>
      <c r="R20" s="4"/>
      <c r="S20" s="46"/>
      <c r="T20" s="46"/>
      <c r="U20" s="48"/>
    </row>
    <row r="21" spans="1:21" x14ac:dyDescent="0.25">
      <c r="A21" s="4"/>
      <c r="B21" s="3"/>
      <c r="C21" s="3"/>
      <c r="D21" s="17"/>
      <c r="E21" s="17"/>
      <c r="F21" s="17"/>
      <c r="G21" s="17"/>
      <c r="H21" s="17"/>
      <c r="I21" s="17"/>
      <c r="J21" s="17"/>
      <c r="K21" s="21"/>
      <c r="L21" s="26"/>
      <c r="M21" s="16"/>
      <c r="N21" s="17"/>
      <c r="O21" s="17"/>
      <c r="P21" s="17"/>
      <c r="Q21" s="18"/>
      <c r="R21" s="4"/>
      <c r="S21" s="46"/>
      <c r="T21" s="46"/>
      <c r="U21" s="48"/>
    </row>
    <row r="22" spans="1:21" x14ac:dyDescent="0.25">
      <c r="A22" s="4" t="s">
        <v>19</v>
      </c>
      <c r="B22" s="3" t="s">
        <v>4</v>
      </c>
      <c r="C22" s="3" t="s">
        <v>5</v>
      </c>
      <c r="D22" s="17"/>
      <c r="E22" s="17"/>
      <c r="F22" s="17"/>
      <c r="G22" s="17"/>
      <c r="H22" s="17"/>
      <c r="I22" s="17"/>
      <c r="J22" s="17"/>
      <c r="K22" s="21"/>
      <c r="L22" s="26"/>
      <c r="M22" s="16"/>
      <c r="N22" s="17"/>
      <c r="O22" s="17"/>
      <c r="P22" s="17"/>
      <c r="Q22" s="18"/>
      <c r="R22" s="4"/>
      <c r="S22" s="46"/>
      <c r="T22" s="46"/>
      <c r="U22" s="48"/>
    </row>
    <row r="23" spans="1:21" x14ac:dyDescent="0.25">
      <c r="A23" s="4" t="s">
        <v>0</v>
      </c>
      <c r="B23" s="17">
        <f>B19</f>
        <v>-3.7122000000000002</v>
      </c>
      <c r="C23" s="17">
        <f>C19</f>
        <v>1.8867</v>
      </c>
      <c r="D23" s="17">
        <f>B23-B26</f>
        <v>-0.88390000000000013</v>
      </c>
      <c r="E23" s="17">
        <f>C23-C26</f>
        <v>-0.88389999999999991</v>
      </c>
      <c r="F23" s="17">
        <f>ROUNDUP(SQRT((D23^2)+(E23^2)),4)</f>
        <v>1.2501</v>
      </c>
      <c r="G23" s="17">
        <f>ROUNDUP(ACOS((D23/F23))*(180/3.1415926),4)</f>
        <v>134.9965</v>
      </c>
      <c r="H23" s="17">
        <f>ROUNDUP(ASIN((E23/F23))*(180/3.1415926),4)</f>
        <v>-44.996500000000005</v>
      </c>
      <c r="I23" s="14">
        <f>IF(D23&lt;&gt;0,ROUNDUP(ATAN(E23/D23)*(180/3.1415926),4),90)</f>
        <v>45.000100000000003</v>
      </c>
      <c r="J23" s="17">
        <f>IF((I23*H23*G23)&gt;=0,I23,180+I23)</f>
        <v>225.0001</v>
      </c>
      <c r="K23" s="17">
        <f>((J25-90)-(J24-90)-(J23-90))</f>
        <v>-202.50149999999999</v>
      </c>
      <c r="L23" s="26" t="str">
        <f>IF(K23&gt;=0,"CCW","CW")</f>
        <v>CW</v>
      </c>
      <c r="M23" s="13">
        <f>IF(B23&lt;&gt;B26,(C26-C23)/(B26-B23),100)</f>
        <v>0.99999999999999978</v>
      </c>
      <c r="N23" s="14">
        <f>IF(B24&lt;&gt;B26,(C26-C24)/(B26-B24),100)</f>
        <v>-0.41418427433321792</v>
      </c>
      <c r="O23" s="14">
        <f>IF(B25&lt;&gt;B26,(C26-C25)/(B26-B25),100)</f>
        <v>100</v>
      </c>
      <c r="P23" s="17">
        <f>O23-N23-M23</f>
        <v>99.414184274333223</v>
      </c>
      <c r="Q23" s="18" t="str">
        <f>IF(P23&gt;=0,"CW","CCW")</f>
        <v>CW</v>
      </c>
      <c r="R23" s="49">
        <f>D23-((D23-D25)/2)</f>
        <v>-0.44195000000000007</v>
      </c>
      <c r="S23" s="3">
        <f>E25-((E25-E23)/2)</f>
        <v>0.18305000000000016</v>
      </c>
      <c r="T23" s="46">
        <f>SQRT((R23-D24)^2+(S23-E24)^2)</f>
        <v>0.77157480842754289</v>
      </c>
      <c r="U23" s="48" t="str">
        <f>IF(T23&gt;=F23,"Inverted","Normal")</f>
        <v>Normal</v>
      </c>
    </row>
    <row r="24" spans="1:21" x14ac:dyDescent="0.25">
      <c r="A24" s="4" t="s">
        <v>1</v>
      </c>
      <c r="B24" s="17">
        <f>B18</f>
        <v>-3.9830999999999999</v>
      </c>
      <c r="C24" s="17">
        <f>C18</f>
        <v>3.2488999999999999</v>
      </c>
      <c r="D24" s="17">
        <f>B24-B26</f>
        <v>-1.1547999999999998</v>
      </c>
      <c r="E24" s="17">
        <f>C24-C26</f>
        <v>0.47829999999999995</v>
      </c>
      <c r="F24" s="17">
        <f>ROUNDUP(SQRT((D24^2)+(E24^2)),4)</f>
        <v>1.25</v>
      </c>
      <c r="G24" s="17">
        <f t="shared" ref="G24:G25" si="9">ROUNDUP(ACOS((D24/F24))*(180/3.1415926),4)</f>
        <v>157.4941</v>
      </c>
      <c r="H24" s="17">
        <f t="shared" ref="H24:H25" si="10">ROUNDUP(ASIN((E24/F24))*(180/3.1415926),4)</f>
        <v>22.497399999999999</v>
      </c>
      <c r="I24" s="14">
        <f t="shared" ref="I24:I25" si="11">IF(D24&lt;&gt;0,ROUNDUP(ATAN(E24/D24)*(180/3.1415926),4),90)</f>
        <v>-22.4986</v>
      </c>
      <c r="J24" s="17">
        <f>IF((I24*H24*G24)&gt;=0,I24,180+I24)</f>
        <v>157.50139999999999</v>
      </c>
      <c r="K24" s="21"/>
      <c r="L24" s="26"/>
      <c r="M24" s="16"/>
      <c r="N24" s="17"/>
      <c r="O24" s="17"/>
      <c r="P24" s="17"/>
      <c r="Q24" s="18"/>
      <c r="R24" s="4"/>
      <c r="S24" s="46"/>
      <c r="T24" s="46"/>
      <c r="U24" s="48"/>
    </row>
    <row r="25" spans="1:21" x14ac:dyDescent="0.25">
      <c r="A25" s="4" t="s">
        <v>2</v>
      </c>
      <c r="B25" s="17">
        <f>B17</f>
        <v>-2.8283</v>
      </c>
      <c r="C25" s="17">
        <f>C17</f>
        <v>4.0206</v>
      </c>
      <c r="D25" s="17">
        <f>B25-B26</f>
        <v>0</v>
      </c>
      <c r="E25" s="17">
        <f>C25-C26</f>
        <v>1.25</v>
      </c>
      <c r="F25" s="17">
        <f>ROUNDUP(SQRT((D25^2)+(E25^2)),4)</f>
        <v>1.25</v>
      </c>
      <c r="G25" s="17">
        <f t="shared" si="9"/>
        <v>90.000100000000003</v>
      </c>
      <c r="H25" s="17">
        <f t="shared" si="10"/>
        <v>90.000100000000003</v>
      </c>
      <c r="I25" s="14">
        <f t="shared" si="11"/>
        <v>90</v>
      </c>
      <c r="J25" s="17">
        <f>IF((I25*H25*G25)&gt;=0,I25,180+I25)</f>
        <v>90</v>
      </c>
      <c r="K25" s="21"/>
      <c r="L25" s="26"/>
      <c r="M25" s="16"/>
      <c r="N25" s="17"/>
      <c r="O25" s="17"/>
      <c r="P25" s="17"/>
      <c r="Q25" s="18"/>
      <c r="R25" s="4"/>
      <c r="S25" s="46"/>
      <c r="T25" s="46"/>
      <c r="U25" s="48"/>
    </row>
    <row r="26" spans="1:21" x14ac:dyDescent="0.25">
      <c r="A26" s="4" t="s">
        <v>3</v>
      </c>
      <c r="B26" s="17">
        <f>B20</f>
        <v>-2.8283</v>
      </c>
      <c r="C26" s="17">
        <f>C20</f>
        <v>2.7706</v>
      </c>
      <c r="D26" s="17"/>
      <c r="E26" s="17"/>
      <c r="F26" s="17"/>
      <c r="G26" s="17"/>
      <c r="H26" s="17"/>
      <c r="I26" s="17"/>
      <c r="J26" s="17"/>
      <c r="K26" s="21"/>
      <c r="L26" s="26"/>
      <c r="M26" s="16"/>
      <c r="N26" s="17"/>
      <c r="O26" s="17"/>
      <c r="P26" s="17"/>
      <c r="Q26" s="18"/>
      <c r="R26" s="4"/>
      <c r="S26" s="46"/>
      <c r="T26" s="46"/>
      <c r="U26" s="48"/>
    </row>
    <row r="27" spans="1:21" ht="15.75" thickBot="1" x14ac:dyDescent="0.3">
      <c r="A27" s="5"/>
      <c r="B27" s="6"/>
      <c r="C27" s="6"/>
      <c r="D27" s="11"/>
      <c r="E27" s="11"/>
      <c r="F27" s="11"/>
      <c r="G27" s="11"/>
      <c r="H27" s="11"/>
      <c r="I27" s="11"/>
      <c r="J27" s="11"/>
      <c r="K27" s="23"/>
      <c r="L27" s="27"/>
      <c r="M27" s="19"/>
      <c r="N27" s="11"/>
      <c r="O27" s="11"/>
      <c r="P27" s="11"/>
      <c r="Q27" s="12"/>
      <c r="R27" s="5"/>
      <c r="S27" s="50"/>
      <c r="T27" s="50"/>
      <c r="U27" s="51"/>
    </row>
    <row r="28" spans="1:21" ht="15.75" thickBot="1" x14ac:dyDescent="0.3">
      <c r="A28" s="7"/>
      <c r="B28" s="8"/>
      <c r="C28" s="8"/>
      <c r="D28" s="28"/>
      <c r="E28" s="28"/>
      <c r="F28" s="28"/>
      <c r="G28" s="28"/>
      <c r="H28" s="28"/>
      <c r="I28" s="28"/>
      <c r="J28" s="28"/>
      <c r="K28" s="29"/>
      <c r="L28" s="29"/>
      <c r="M28" s="20"/>
      <c r="N28" s="20"/>
      <c r="O28" s="20"/>
      <c r="P28" s="20"/>
      <c r="Q28" s="20"/>
    </row>
    <row r="29" spans="1:21" ht="45" x14ac:dyDescent="0.25">
      <c r="A29" s="30" t="s">
        <v>35</v>
      </c>
      <c r="B29" s="31" t="s">
        <v>22</v>
      </c>
      <c r="C29" s="31"/>
      <c r="D29" s="32" t="s">
        <v>6</v>
      </c>
      <c r="E29" s="32"/>
      <c r="F29" s="32" t="s">
        <v>7</v>
      </c>
      <c r="G29" s="32" t="s">
        <v>10</v>
      </c>
      <c r="H29" s="32" t="s">
        <v>9</v>
      </c>
      <c r="I29" s="32" t="s">
        <v>13</v>
      </c>
      <c r="J29" s="32" t="s">
        <v>11</v>
      </c>
      <c r="K29" s="32" t="s">
        <v>16</v>
      </c>
      <c r="L29" s="33" t="s">
        <v>18</v>
      </c>
      <c r="M29" s="34" t="s">
        <v>25</v>
      </c>
      <c r="N29" s="35" t="s">
        <v>26</v>
      </c>
      <c r="O29" s="35" t="s">
        <v>27</v>
      </c>
      <c r="P29" s="35" t="s">
        <v>31</v>
      </c>
      <c r="Q29" s="36" t="s">
        <v>32</v>
      </c>
      <c r="R29" s="34" t="s">
        <v>37</v>
      </c>
      <c r="S29" s="35" t="s">
        <v>38</v>
      </c>
      <c r="T29" s="35" t="s">
        <v>39</v>
      </c>
      <c r="U29" s="47" t="s">
        <v>18</v>
      </c>
    </row>
    <row r="30" spans="1:21" ht="45.75" thickBot="1" x14ac:dyDescent="0.3">
      <c r="A30" s="37"/>
      <c r="B30" s="38" t="s">
        <v>4</v>
      </c>
      <c r="C30" s="38" t="s">
        <v>5</v>
      </c>
      <c r="D30" s="39" t="s">
        <v>4</v>
      </c>
      <c r="E30" s="39" t="s">
        <v>5</v>
      </c>
      <c r="F30" s="39" t="s">
        <v>8</v>
      </c>
      <c r="G30" s="39" t="s">
        <v>36</v>
      </c>
      <c r="H30" s="39" t="s">
        <v>12</v>
      </c>
      <c r="I30" s="39" t="s">
        <v>14</v>
      </c>
      <c r="J30" s="39" t="s">
        <v>15</v>
      </c>
      <c r="K30" s="39" t="s">
        <v>17</v>
      </c>
      <c r="L30" s="40" t="s">
        <v>30</v>
      </c>
      <c r="M30" s="41" t="s">
        <v>24</v>
      </c>
      <c r="N30" s="39" t="s">
        <v>28</v>
      </c>
      <c r="O30" s="39" t="s">
        <v>29</v>
      </c>
      <c r="P30" s="39" t="s">
        <v>34</v>
      </c>
      <c r="Q30" s="42" t="s">
        <v>33</v>
      </c>
      <c r="R30" s="56" t="s">
        <v>41</v>
      </c>
      <c r="S30" s="57" t="s">
        <v>42</v>
      </c>
      <c r="T30" s="57" t="s">
        <v>40</v>
      </c>
      <c r="U30" s="58"/>
    </row>
    <row r="31" spans="1:21" x14ac:dyDescent="0.25">
      <c r="A31" s="4" t="s">
        <v>0</v>
      </c>
      <c r="B31" s="2">
        <v>-4.3091999999999997</v>
      </c>
      <c r="C31" s="2">
        <v>-3.7951000000000001</v>
      </c>
      <c r="D31" s="17">
        <f>B31-B34</f>
        <v>-1.2499999999999996</v>
      </c>
      <c r="E31" s="17">
        <f>C31-C34</f>
        <v>0</v>
      </c>
      <c r="F31" s="17">
        <f>ROUNDUP(SQRT((D31^2)+(E31^2)),4)</f>
        <v>1.25</v>
      </c>
      <c r="G31" s="17">
        <f>ROUNDUP(ACOS((D31/F31))*(180/3.1415926),4)</f>
        <v>180.0001</v>
      </c>
      <c r="H31" s="17">
        <f>ROUNDUP(ASIN((E31/F31))*(180/3.1415926),4)</f>
        <v>0</v>
      </c>
      <c r="I31" s="14">
        <f>IF(D31&lt;&gt;0,ROUNDUP(ATAN(E31/D31)*(180/3.1415926),4),90)</f>
        <v>0</v>
      </c>
      <c r="J31" s="17">
        <f>IF((I31*H31*G31)&gt;=0,I31,180+I31)</f>
        <v>0</v>
      </c>
      <c r="K31" s="17">
        <f>((J33-90)-(J32-90)-(J31-90))</f>
        <v>-217.49880000000002</v>
      </c>
      <c r="L31" s="26" t="str">
        <f>IF(K31&gt;=0,"CCW","CW")</f>
        <v>CW</v>
      </c>
      <c r="M31" s="13">
        <f>IF(B31&lt;&gt;B34,(C34-C31)/(B34-B31),100)</f>
        <v>0</v>
      </c>
      <c r="N31" s="14">
        <f>IF(B32&lt;&gt;B34,(C34-C32)/(B34-B32),100)</f>
        <v>1.303325009856749</v>
      </c>
      <c r="O31" s="14">
        <f>IF(B33&lt;&gt;B34,(C34-C33)/(B34-B33),100)</f>
        <v>-3.7311495673671167</v>
      </c>
      <c r="P31" s="14">
        <f>O31-N31-M31</f>
        <v>-5.0344745772238655</v>
      </c>
      <c r="Q31" s="15" t="str">
        <f>IF(P31&gt;=0,"CW","CCW")</f>
        <v>CCW</v>
      </c>
      <c r="R31" s="52">
        <f>D31-((D31-D33)/2)</f>
        <v>-0.46319999999999961</v>
      </c>
      <c r="S31" s="53">
        <f>E33-((E33-E31)/2)</f>
        <v>-0.60370000000000013</v>
      </c>
      <c r="T31" s="54">
        <f>SQRT((R31-D32)^2+(S31-E32)^2)</f>
        <v>0.48904937378551078</v>
      </c>
      <c r="U31" s="55" t="str">
        <f>IF(T31&gt;=F31,"Inverted","Normal")</f>
        <v>Normal</v>
      </c>
    </row>
    <row r="32" spans="1:21" x14ac:dyDescent="0.25">
      <c r="A32" s="4" t="s">
        <v>1</v>
      </c>
      <c r="B32" s="2">
        <v>-3.8201000000000001</v>
      </c>
      <c r="C32" s="2">
        <v>-4.7868000000000004</v>
      </c>
      <c r="D32" s="17">
        <f>B32-B34</f>
        <v>-0.76089999999999991</v>
      </c>
      <c r="E32" s="17">
        <f>C32-C34</f>
        <v>-0.99170000000000025</v>
      </c>
      <c r="F32" s="17">
        <f>ROUNDUP(SQRT((D32^2)+(E32^2)),4)</f>
        <v>1.25</v>
      </c>
      <c r="G32" s="17">
        <f t="shared" ref="G32:G33" si="12">ROUNDUP(ACOS((D32/F32))*(180/3.1415926),4)</f>
        <v>127.4971</v>
      </c>
      <c r="H32" s="17">
        <f t="shared" ref="H32:H33" si="13">ROUNDUP(ASIN((E32/F32))*(180/3.1415926),4)</f>
        <v>-52.500700000000002</v>
      </c>
      <c r="I32" s="14">
        <f t="shared" ref="I32:I33" si="14">IF(D32&lt;&gt;0,ROUNDUP(ATAN(E32/D32)*(180/3.1415926),4),90)</f>
        <v>52.502200000000002</v>
      </c>
      <c r="J32" s="17">
        <f>IF((I32*H32*G32)&gt;=0,I32,180+I32)</f>
        <v>232.50220000000002</v>
      </c>
      <c r="K32" s="21"/>
      <c r="L32" s="26"/>
      <c r="M32" s="16"/>
      <c r="N32" s="17"/>
      <c r="O32" s="17"/>
      <c r="P32" s="17"/>
      <c r="Q32" s="18"/>
      <c r="R32" s="4"/>
      <c r="S32" s="46"/>
      <c r="T32" s="46"/>
      <c r="U32" s="48"/>
    </row>
    <row r="33" spans="1:21" x14ac:dyDescent="0.25">
      <c r="A33" s="4" t="s">
        <v>2</v>
      </c>
      <c r="B33" s="2">
        <v>-2.7355999999999998</v>
      </c>
      <c r="C33" s="2">
        <v>-5.0025000000000004</v>
      </c>
      <c r="D33" s="17">
        <f>B33-B34</f>
        <v>0.32360000000000033</v>
      </c>
      <c r="E33" s="17">
        <f>C33-C34</f>
        <v>-1.2074000000000003</v>
      </c>
      <c r="F33" s="17">
        <f>ROUNDUP(SQRT((D33^2)+(E33^2)),4)</f>
        <v>1.2501</v>
      </c>
      <c r="G33" s="17">
        <f t="shared" si="12"/>
        <v>74.997700000000009</v>
      </c>
      <c r="H33" s="17">
        <f t="shared" si="13"/>
        <v>-74.981700000000004</v>
      </c>
      <c r="I33" s="14">
        <f t="shared" si="14"/>
        <v>-74.996600000000001</v>
      </c>
      <c r="J33" s="17">
        <f>IF((I33*H33*G33)&gt;=0,I33,180+I33)</f>
        <v>-74.996600000000001</v>
      </c>
      <c r="K33" s="21"/>
      <c r="L33" s="26"/>
      <c r="M33" s="16"/>
      <c r="N33" s="17"/>
      <c r="O33" s="17"/>
      <c r="P33" s="17"/>
      <c r="Q33" s="18"/>
      <c r="R33" s="4"/>
      <c r="S33" s="46"/>
      <c r="T33" s="46"/>
      <c r="U33" s="48"/>
    </row>
    <row r="34" spans="1:21" x14ac:dyDescent="0.25">
      <c r="A34" s="4" t="s">
        <v>3</v>
      </c>
      <c r="B34" s="2">
        <v>-3.0592000000000001</v>
      </c>
      <c r="C34" s="2">
        <v>-3.7951000000000001</v>
      </c>
      <c r="D34" s="17"/>
      <c r="E34" s="17"/>
      <c r="F34" s="17"/>
      <c r="G34" s="17"/>
      <c r="H34" s="17"/>
      <c r="I34" s="17"/>
      <c r="J34" s="17"/>
      <c r="K34" s="21"/>
      <c r="L34" s="26"/>
      <c r="M34" s="16"/>
      <c r="N34" s="17"/>
      <c r="O34" s="17"/>
      <c r="P34" s="17"/>
      <c r="Q34" s="18"/>
      <c r="R34" s="4"/>
      <c r="S34" s="46"/>
      <c r="T34" s="46"/>
      <c r="U34" s="48"/>
    </row>
    <row r="35" spans="1:21" x14ac:dyDescent="0.25">
      <c r="A35" s="4"/>
      <c r="B35" s="3"/>
      <c r="C35" s="3"/>
      <c r="D35" s="17"/>
      <c r="E35" s="17"/>
      <c r="F35" s="17"/>
      <c r="G35" s="17"/>
      <c r="H35" s="17"/>
      <c r="I35" s="17"/>
      <c r="J35" s="17"/>
      <c r="K35" s="21"/>
      <c r="L35" s="26"/>
      <c r="M35" s="16"/>
      <c r="N35" s="17"/>
      <c r="O35" s="17"/>
      <c r="P35" s="17"/>
      <c r="Q35" s="18"/>
      <c r="R35" s="4"/>
      <c r="S35" s="46"/>
      <c r="T35" s="46"/>
      <c r="U35" s="48"/>
    </row>
    <row r="36" spans="1:21" x14ac:dyDescent="0.25">
      <c r="A36" s="4" t="s">
        <v>19</v>
      </c>
      <c r="B36" s="3" t="s">
        <v>4</v>
      </c>
      <c r="C36" s="3" t="s">
        <v>5</v>
      </c>
      <c r="D36" s="17"/>
      <c r="E36" s="17"/>
      <c r="F36" s="17"/>
      <c r="G36" s="17"/>
      <c r="H36" s="17"/>
      <c r="I36" s="17"/>
      <c r="J36" s="17"/>
      <c r="K36" s="21"/>
      <c r="L36" s="26"/>
      <c r="M36" s="16"/>
      <c r="N36" s="17"/>
      <c r="O36" s="17"/>
      <c r="P36" s="17"/>
      <c r="Q36" s="18"/>
      <c r="R36" s="4"/>
      <c r="S36" s="46"/>
      <c r="T36" s="46"/>
      <c r="U36" s="48"/>
    </row>
    <row r="37" spans="1:21" x14ac:dyDescent="0.25">
      <c r="A37" s="4" t="s">
        <v>0</v>
      </c>
      <c r="B37" s="17">
        <f>B33</f>
        <v>-2.7355999999999998</v>
      </c>
      <c r="C37" s="17">
        <f>C33</f>
        <v>-5.0025000000000004</v>
      </c>
      <c r="D37" s="17">
        <f>B37-B40</f>
        <v>0.32360000000000033</v>
      </c>
      <c r="E37" s="17">
        <f>C37-C40</f>
        <v>-1.2074000000000003</v>
      </c>
      <c r="F37" s="17">
        <f>ROUNDUP(SQRT((D37^2)+(E37^2)),4)</f>
        <v>1.2501</v>
      </c>
      <c r="G37" s="17">
        <f>ROUNDUP(ACOS((D37/F37))*(180/3.1415926),4)</f>
        <v>74.997700000000009</v>
      </c>
      <c r="H37" s="17">
        <f>ROUNDUP(ASIN((E37/F37))*(180/3.1415926),4)</f>
        <v>-74.981700000000004</v>
      </c>
      <c r="I37" s="14">
        <f>IF(D37&lt;&gt;0,ROUNDUP(ATAN(E37/D37)*(180/3.1415926),4),90)</f>
        <v>-74.996600000000001</v>
      </c>
      <c r="J37" s="17">
        <f>IF((I37*H37*G37)&gt;=0,I37,180+I37)</f>
        <v>-74.996600000000001</v>
      </c>
      <c r="K37" s="17">
        <f>((J39-90)-(J38-90)-(J37-90))</f>
        <v>-67.505600000000015</v>
      </c>
      <c r="L37" s="26" t="str">
        <f>IF(K37&gt;=0,"CCW","CW")</f>
        <v>CW</v>
      </c>
      <c r="M37" s="13">
        <f>IF(B37&lt;&gt;B40,(C40-C37)/(B40-B37),100)</f>
        <v>-3.7311495673671167</v>
      </c>
      <c r="N37" s="14">
        <f>IF(B38&lt;&gt;B40,(C40-C38)/(B40-B38),100)</f>
        <v>1.303325009856749</v>
      </c>
      <c r="O37" s="14">
        <f>IF(B39&lt;&gt;B40,(C40-C39)/(B40-B39),100)</f>
        <v>0</v>
      </c>
      <c r="P37" s="17">
        <f>O37-N37-M37</f>
        <v>2.4278245575103679</v>
      </c>
      <c r="Q37" s="18" t="str">
        <f>IF(P37&gt;=0,"CW","CCW")</f>
        <v>CW</v>
      </c>
      <c r="R37" s="49">
        <f>D37-((D37-D39)/2)</f>
        <v>-0.46319999999999961</v>
      </c>
      <c r="S37" s="3">
        <f>E39-((E39-E37)/2)</f>
        <v>-0.60370000000000013</v>
      </c>
      <c r="T37" s="46">
        <f>SQRT((R37-D38)^2+(S37-E38)^2)</f>
        <v>0.48904937378551078</v>
      </c>
      <c r="U37" s="48" t="str">
        <f>IF(T37&gt;=F37,"Inverted","Normal")</f>
        <v>Normal</v>
      </c>
    </row>
    <row r="38" spans="1:21" x14ac:dyDescent="0.25">
      <c r="A38" s="4" t="s">
        <v>1</v>
      </c>
      <c r="B38" s="17">
        <f>B32</f>
        <v>-3.8201000000000001</v>
      </c>
      <c r="C38" s="17">
        <f>C32</f>
        <v>-4.7868000000000004</v>
      </c>
      <c r="D38" s="17">
        <f>B38-B40</f>
        <v>-0.76089999999999991</v>
      </c>
      <c r="E38" s="17">
        <f>C38-C40</f>
        <v>-0.99170000000000025</v>
      </c>
      <c r="F38" s="17">
        <f>ROUNDUP(SQRT((D38^2)+(E38^2)),4)</f>
        <v>1.25</v>
      </c>
      <c r="G38" s="17">
        <f t="shared" ref="G38:G39" si="15">ROUNDUP(ACOS((D38/F38))*(180/3.1415926),4)</f>
        <v>127.4971</v>
      </c>
      <c r="H38" s="17">
        <f t="shared" ref="H38:H39" si="16">ROUNDUP(ASIN((E38/F38))*(180/3.1415926),4)</f>
        <v>-52.500700000000002</v>
      </c>
      <c r="I38" s="14">
        <f t="shared" ref="I38:I39" si="17">IF(D38&lt;&gt;0,ROUNDUP(ATAN(E38/D38)*(180/3.1415926),4),90)</f>
        <v>52.502200000000002</v>
      </c>
      <c r="J38" s="17">
        <f>IF((I38*H38*G38)&gt;=0,I38,180+I38)</f>
        <v>232.50220000000002</v>
      </c>
      <c r="K38" s="21"/>
      <c r="L38" s="26"/>
      <c r="M38" s="16"/>
      <c r="N38" s="17"/>
      <c r="O38" s="17"/>
      <c r="P38" s="17"/>
      <c r="Q38" s="18"/>
      <c r="R38" s="4"/>
      <c r="S38" s="46"/>
      <c r="T38" s="46"/>
      <c r="U38" s="48"/>
    </row>
    <row r="39" spans="1:21" x14ac:dyDescent="0.25">
      <c r="A39" s="4" t="s">
        <v>2</v>
      </c>
      <c r="B39" s="17">
        <f>B31</f>
        <v>-4.3091999999999997</v>
      </c>
      <c r="C39" s="17">
        <f>C31</f>
        <v>-3.7951000000000001</v>
      </c>
      <c r="D39" s="17">
        <f>B39-B40</f>
        <v>-1.2499999999999996</v>
      </c>
      <c r="E39" s="17">
        <f>C39-C40</f>
        <v>0</v>
      </c>
      <c r="F39" s="17">
        <f>ROUNDUP(SQRT((D39^2)+(E39^2)),4)</f>
        <v>1.25</v>
      </c>
      <c r="G39" s="17">
        <f t="shared" si="15"/>
        <v>180.0001</v>
      </c>
      <c r="H39" s="17">
        <f t="shared" si="16"/>
        <v>0</v>
      </c>
      <c r="I39" s="14">
        <f t="shared" si="17"/>
        <v>0</v>
      </c>
      <c r="J39" s="17">
        <f>IF((I39*H39*G39)&gt;=0,I39,180+I39)</f>
        <v>0</v>
      </c>
      <c r="K39" s="21"/>
      <c r="L39" s="26"/>
      <c r="M39" s="16"/>
      <c r="N39" s="17"/>
      <c r="O39" s="17"/>
      <c r="P39" s="17"/>
      <c r="Q39" s="18"/>
      <c r="R39" s="4"/>
      <c r="S39" s="46"/>
      <c r="T39" s="46"/>
      <c r="U39" s="48"/>
    </row>
    <row r="40" spans="1:21" x14ac:dyDescent="0.25">
      <c r="A40" s="4" t="s">
        <v>3</v>
      </c>
      <c r="B40" s="17">
        <f>B34</f>
        <v>-3.0592000000000001</v>
      </c>
      <c r="C40" s="17">
        <f>C34</f>
        <v>-3.7951000000000001</v>
      </c>
      <c r="D40" s="17"/>
      <c r="E40" s="17"/>
      <c r="F40" s="17"/>
      <c r="G40" s="17"/>
      <c r="H40" s="17"/>
      <c r="I40" s="17"/>
      <c r="J40" s="17"/>
      <c r="K40" s="21"/>
      <c r="L40" s="26"/>
      <c r="M40" s="16"/>
      <c r="N40" s="17"/>
      <c r="O40" s="17"/>
      <c r="P40" s="17"/>
      <c r="Q40" s="18"/>
      <c r="R40" s="4"/>
      <c r="S40" s="46"/>
      <c r="T40" s="46"/>
      <c r="U40" s="48"/>
    </row>
    <row r="41" spans="1:21" ht="15.75" thickBot="1" x14ac:dyDescent="0.3">
      <c r="A41" s="5"/>
      <c r="B41" s="6"/>
      <c r="C41" s="6"/>
      <c r="D41" s="11"/>
      <c r="E41" s="11"/>
      <c r="F41" s="11"/>
      <c r="G41" s="11"/>
      <c r="H41" s="11"/>
      <c r="I41" s="11"/>
      <c r="J41" s="11"/>
      <c r="K41" s="23"/>
      <c r="L41" s="27"/>
      <c r="M41" s="19"/>
      <c r="N41" s="11"/>
      <c r="O41" s="11"/>
      <c r="P41" s="11"/>
      <c r="Q41" s="12"/>
      <c r="R41" s="5"/>
      <c r="S41" s="50"/>
      <c r="T41" s="50"/>
      <c r="U41" s="51"/>
    </row>
    <row r="42" spans="1:21" ht="15.75" thickBot="1" x14ac:dyDescent="0.3">
      <c r="D42" s="20"/>
      <c r="E42" s="20"/>
      <c r="F42" s="20"/>
      <c r="G42" s="20"/>
      <c r="H42" s="20"/>
      <c r="I42" s="20"/>
      <c r="J42" s="20"/>
      <c r="K42" s="25"/>
      <c r="L42" s="25"/>
      <c r="M42" s="20"/>
      <c r="N42" s="20"/>
      <c r="O42" s="20"/>
      <c r="P42" s="20"/>
      <c r="Q42" s="20"/>
    </row>
    <row r="43" spans="1:21" ht="45" x14ac:dyDescent="0.25">
      <c r="A43" s="30" t="s">
        <v>35</v>
      </c>
      <c r="B43" s="31" t="s">
        <v>23</v>
      </c>
      <c r="C43" s="31"/>
      <c r="D43" s="32" t="s">
        <v>6</v>
      </c>
      <c r="E43" s="32"/>
      <c r="F43" s="32" t="s">
        <v>7</v>
      </c>
      <c r="G43" s="32" t="s">
        <v>10</v>
      </c>
      <c r="H43" s="32" t="s">
        <v>9</v>
      </c>
      <c r="I43" s="32" t="s">
        <v>13</v>
      </c>
      <c r="J43" s="32" t="s">
        <v>11</v>
      </c>
      <c r="K43" s="32" t="s">
        <v>16</v>
      </c>
      <c r="L43" s="33" t="s">
        <v>18</v>
      </c>
      <c r="M43" s="34" t="s">
        <v>25</v>
      </c>
      <c r="N43" s="35" t="s">
        <v>26</v>
      </c>
      <c r="O43" s="35" t="s">
        <v>27</v>
      </c>
      <c r="P43" s="35" t="s">
        <v>31</v>
      </c>
      <c r="Q43" s="36" t="s">
        <v>32</v>
      </c>
      <c r="R43" s="34" t="s">
        <v>37</v>
      </c>
      <c r="S43" s="35" t="s">
        <v>38</v>
      </c>
      <c r="T43" s="35" t="s">
        <v>39</v>
      </c>
      <c r="U43" s="47" t="s">
        <v>18</v>
      </c>
    </row>
    <row r="44" spans="1:21" ht="45.75" thickBot="1" x14ac:dyDescent="0.3">
      <c r="A44" s="37"/>
      <c r="B44" s="38" t="s">
        <v>4</v>
      </c>
      <c r="C44" s="38" t="s">
        <v>5</v>
      </c>
      <c r="D44" s="39" t="s">
        <v>4</v>
      </c>
      <c r="E44" s="39" t="s">
        <v>5</v>
      </c>
      <c r="F44" s="39" t="s">
        <v>8</v>
      </c>
      <c r="G44" s="39" t="s">
        <v>36</v>
      </c>
      <c r="H44" s="39" t="s">
        <v>12</v>
      </c>
      <c r="I44" s="39" t="s">
        <v>14</v>
      </c>
      <c r="J44" s="39" t="s">
        <v>15</v>
      </c>
      <c r="K44" s="39" t="s">
        <v>17</v>
      </c>
      <c r="L44" s="40" t="s">
        <v>30</v>
      </c>
      <c r="M44" s="41" t="s">
        <v>24</v>
      </c>
      <c r="N44" s="39" t="s">
        <v>28</v>
      </c>
      <c r="O44" s="39" t="s">
        <v>29</v>
      </c>
      <c r="P44" s="39" t="s">
        <v>34</v>
      </c>
      <c r="Q44" s="42" t="s">
        <v>33</v>
      </c>
      <c r="R44" s="56" t="s">
        <v>41</v>
      </c>
      <c r="S44" s="57" t="s">
        <v>42</v>
      </c>
      <c r="T44" s="57" t="s">
        <v>40</v>
      </c>
      <c r="U44" s="58"/>
    </row>
    <row r="45" spans="1:21" x14ac:dyDescent="0.25">
      <c r="A45" s="4" t="s">
        <v>0</v>
      </c>
      <c r="B45" s="2">
        <v>3.0735999999999999</v>
      </c>
      <c r="C45" s="2">
        <v>-5.3048000000000002</v>
      </c>
      <c r="D45" s="17">
        <f>B45-B48</f>
        <v>0</v>
      </c>
      <c r="E45" s="17">
        <f>C45-C48</f>
        <v>-1.25</v>
      </c>
      <c r="F45" s="17">
        <f>ROUNDUP(SQRT((D45^2)+(E45^2)),4)</f>
        <v>1.25</v>
      </c>
      <c r="G45" s="17">
        <f>ROUNDUP(ACOS((D45/F45))*(180/3.1415926),4)</f>
        <v>90.000100000000003</v>
      </c>
      <c r="H45" s="17">
        <f>ROUNDUP(ASIN((E45/F45))*(180/3.1415926),4)</f>
        <v>-90.000100000000003</v>
      </c>
      <c r="I45" s="14">
        <f>IF(D45&lt;&gt;0,ROUNDUP(ATAN(E45/D45)*(180/3.1415926),4),90)</f>
        <v>90</v>
      </c>
      <c r="J45" s="17">
        <f>IF((I45*H45*G45)&gt;=0,I45,180+I45)</f>
        <v>270</v>
      </c>
      <c r="K45" s="17">
        <f>((J47-90)-(J46-90)-(J45-90))</f>
        <v>-127.49930000000001</v>
      </c>
      <c r="L45" s="26" t="str">
        <f>IF(K45&gt;=0,"CCW","CW")</f>
        <v>CW</v>
      </c>
      <c r="M45" s="13">
        <f>IF(B45&lt;&gt;B48,(C48-C45)/(B48-B45),100)</f>
        <v>100</v>
      </c>
      <c r="N45" s="14">
        <f>IF(B46&lt;&gt;B48,(C48-C46)/(B48-B46),100)</f>
        <v>-0.76736916406171252</v>
      </c>
      <c r="O45" s="14">
        <f>IF(B47&lt;&gt;B48,(C48-C47)/(B48-B47),100)</f>
        <v>0.26793109160178913</v>
      </c>
      <c r="P45" s="14">
        <f>O45-N45-M45</f>
        <v>-98.9646997443365</v>
      </c>
      <c r="Q45" s="15" t="str">
        <f>IF(P45&gt;=0,"CW","CCW")</f>
        <v>CCW</v>
      </c>
      <c r="R45" s="52">
        <f>D45-((D45-D47)/2)</f>
        <v>0.6036999999999999</v>
      </c>
      <c r="S45" s="53">
        <f>E47-((E47-E45)/2)</f>
        <v>-0.46324999999999994</v>
      </c>
      <c r="T45" s="54">
        <f>SQRT((R45-D46)^2+(S45-E46)^2)</f>
        <v>0.48907981199391171</v>
      </c>
      <c r="U45" s="55" t="str">
        <f>IF(T45&gt;=F45,"Inverted","Normal")</f>
        <v>Normal</v>
      </c>
    </row>
    <row r="46" spans="1:21" x14ac:dyDescent="0.25">
      <c r="A46" s="4" t="s">
        <v>1</v>
      </c>
      <c r="B46" s="2">
        <v>4.0652999999999997</v>
      </c>
      <c r="C46" s="2">
        <v>-4.8158000000000003</v>
      </c>
      <c r="D46" s="17">
        <f>B46-B48</f>
        <v>0.9916999999999998</v>
      </c>
      <c r="E46" s="17">
        <f>C46-C48</f>
        <v>-0.76100000000000012</v>
      </c>
      <c r="F46" s="17">
        <f>ROUNDUP(SQRT((D46^2)+(E46^2)),4)</f>
        <v>1.2501</v>
      </c>
      <c r="G46" s="17">
        <f t="shared" ref="G46:G47" si="18">ROUNDUP(ACOS((D46/F46))*(180/3.1415926),4)</f>
        <v>37.505400000000002</v>
      </c>
      <c r="H46" s="17">
        <f t="shared" ref="H46:H47" si="19">ROUNDUP(ASIN((E46/F46))*(180/3.1415926),4)</f>
        <v>-37.499300000000005</v>
      </c>
      <c r="I46" s="14">
        <f t="shared" ref="I46:I47" si="20">IF(D46&lt;&gt;0,ROUNDUP(ATAN(E46/D46)*(180/3.1415926),4),90)</f>
        <v>-37.501600000000003</v>
      </c>
      <c r="J46" s="17">
        <f>IF((I46*H46*G46)&gt;=0,I46,180+I46)</f>
        <v>-37.501600000000003</v>
      </c>
      <c r="K46" s="21"/>
      <c r="L46" s="26"/>
      <c r="M46" s="16"/>
      <c r="N46" s="17"/>
      <c r="O46" s="17"/>
      <c r="P46" s="17"/>
      <c r="Q46" s="18"/>
      <c r="R46" s="4"/>
      <c r="S46" s="46"/>
      <c r="T46" s="46"/>
      <c r="U46" s="48"/>
    </row>
    <row r="47" spans="1:21" x14ac:dyDescent="0.25">
      <c r="A47" s="4" t="s">
        <v>2</v>
      </c>
      <c r="B47" s="2">
        <v>4.2809999999999997</v>
      </c>
      <c r="C47" s="2">
        <v>-3.7313000000000001</v>
      </c>
      <c r="D47" s="17">
        <f>B47-B48</f>
        <v>1.2073999999999998</v>
      </c>
      <c r="E47" s="17">
        <f>C47-C48</f>
        <v>0.32350000000000012</v>
      </c>
      <c r="F47" s="17">
        <f>ROUNDUP(SQRT((D47^2)+(E47^2)),4)</f>
        <v>1.25</v>
      </c>
      <c r="G47" s="17">
        <f t="shared" si="18"/>
        <v>15.001300000000001</v>
      </c>
      <c r="H47" s="17">
        <f t="shared" si="19"/>
        <v>14.998899999999999</v>
      </c>
      <c r="I47" s="14">
        <f t="shared" si="20"/>
        <v>14.9991</v>
      </c>
      <c r="J47" s="17">
        <f>IF((I47*H47*G47)&gt;=0,I47,180+I47)</f>
        <v>14.9991</v>
      </c>
      <c r="K47" s="21"/>
      <c r="L47" s="26"/>
      <c r="M47" s="16"/>
      <c r="N47" s="17"/>
      <c r="O47" s="17"/>
      <c r="P47" s="17"/>
      <c r="Q47" s="18"/>
      <c r="R47" s="4"/>
      <c r="S47" s="46"/>
      <c r="T47" s="46"/>
      <c r="U47" s="48"/>
    </row>
    <row r="48" spans="1:21" x14ac:dyDescent="0.25">
      <c r="A48" s="4" t="s">
        <v>3</v>
      </c>
      <c r="B48" s="2">
        <v>3.0735999999999999</v>
      </c>
      <c r="C48" s="2">
        <v>-4.0548000000000002</v>
      </c>
      <c r="D48" s="17"/>
      <c r="E48" s="17"/>
      <c r="F48" s="17"/>
      <c r="G48" s="17"/>
      <c r="H48" s="17"/>
      <c r="I48" s="17"/>
      <c r="J48" s="17"/>
      <c r="K48" s="21"/>
      <c r="L48" s="26"/>
      <c r="M48" s="16"/>
      <c r="N48" s="17"/>
      <c r="O48" s="17"/>
      <c r="P48" s="17"/>
      <c r="Q48" s="18"/>
      <c r="R48" s="4"/>
      <c r="S48" s="46"/>
      <c r="T48" s="46"/>
      <c r="U48" s="48"/>
    </row>
    <row r="49" spans="1:21" x14ac:dyDescent="0.25">
      <c r="A49" s="4"/>
      <c r="B49" s="3"/>
      <c r="C49" s="3"/>
      <c r="D49" s="17"/>
      <c r="E49" s="17"/>
      <c r="F49" s="17"/>
      <c r="G49" s="17"/>
      <c r="H49" s="17"/>
      <c r="I49" s="17"/>
      <c r="J49" s="17"/>
      <c r="K49" s="21"/>
      <c r="L49" s="26"/>
      <c r="M49" s="16"/>
      <c r="N49" s="17"/>
      <c r="O49" s="17"/>
      <c r="P49" s="17"/>
      <c r="Q49" s="18"/>
      <c r="R49" s="4"/>
      <c r="S49" s="46"/>
      <c r="T49" s="46"/>
      <c r="U49" s="48"/>
    </row>
    <row r="50" spans="1:21" x14ac:dyDescent="0.25">
      <c r="A50" s="4" t="s">
        <v>19</v>
      </c>
      <c r="B50" s="3" t="s">
        <v>4</v>
      </c>
      <c r="C50" s="3" t="s">
        <v>5</v>
      </c>
      <c r="D50" s="17"/>
      <c r="E50" s="17"/>
      <c r="F50" s="17"/>
      <c r="G50" s="17"/>
      <c r="H50" s="17"/>
      <c r="I50" s="17"/>
      <c r="J50" s="17"/>
      <c r="K50" s="21"/>
      <c r="L50" s="26"/>
      <c r="M50" s="16"/>
      <c r="N50" s="17"/>
      <c r="O50" s="17"/>
      <c r="P50" s="17"/>
      <c r="Q50" s="18"/>
      <c r="R50" s="4"/>
      <c r="S50" s="46"/>
      <c r="T50" s="46"/>
      <c r="U50" s="48"/>
    </row>
    <row r="51" spans="1:21" x14ac:dyDescent="0.25">
      <c r="A51" s="4" t="s">
        <v>0</v>
      </c>
      <c r="B51" s="17">
        <f>B47</f>
        <v>4.2809999999999997</v>
      </c>
      <c r="C51" s="17">
        <f>C47</f>
        <v>-3.7313000000000001</v>
      </c>
      <c r="D51" s="17">
        <f>B51-B54</f>
        <v>1.2073999999999998</v>
      </c>
      <c r="E51" s="17">
        <f>C51-C54</f>
        <v>0.32350000000000012</v>
      </c>
      <c r="F51" s="17">
        <f>ROUNDUP(SQRT((D51^2)+(E51^2)),4)</f>
        <v>1.25</v>
      </c>
      <c r="G51" s="17">
        <f>ROUNDUP(ACOS((D51/F51))*(180/3.1415926),4)</f>
        <v>15.001300000000001</v>
      </c>
      <c r="H51" s="17">
        <f>ROUNDUP(ASIN((E51/F51))*(180/3.1415926),4)</f>
        <v>14.998899999999999</v>
      </c>
      <c r="I51" s="14">
        <f>IF(D51&lt;&gt;0,ROUNDUP(ATAN(E51/D51)*(180/3.1415926),4),90)</f>
        <v>14.9991</v>
      </c>
      <c r="J51" s="17">
        <f>IF((I51*H51*G51)&gt;=0,I51,180+I51)</f>
        <v>14.9991</v>
      </c>
      <c r="K51" s="17">
        <f>((J53-90)-(J52-90)-(J51-90))</f>
        <v>382.5025</v>
      </c>
      <c r="L51" s="26" t="str">
        <f>IF(K51&gt;=0,"CCW","CW")</f>
        <v>CCW</v>
      </c>
      <c r="M51" s="13">
        <f>IF(B51&lt;&gt;B54,(C54-C51)/(B54-B51),100)</f>
        <v>0.26793109160178913</v>
      </c>
      <c r="N51" s="14">
        <f>IF(B52&lt;&gt;B54,(C54-C52)/(B54-B52),100)</f>
        <v>-0.76736916406171252</v>
      </c>
      <c r="O51" s="14">
        <f>IF(B53&lt;&gt;B54,(C54-C53)/(B54-B53),100)</f>
        <v>100</v>
      </c>
      <c r="P51" s="17">
        <f>O51-N51-M51</f>
        <v>100.49943807245992</v>
      </c>
      <c r="Q51" s="18" t="str">
        <f>IF(P51&gt;=0,"CW","CCW")</f>
        <v>CW</v>
      </c>
      <c r="R51" s="49">
        <f>D51-((D51-D53)/2)</f>
        <v>0.6036999999999999</v>
      </c>
      <c r="S51" s="3">
        <f>E53-((E53-E51)/2)</f>
        <v>-0.46324999999999994</v>
      </c>
      <c r="T51" s="46">
        <f>SQRT((R51-D52)^2+(S51-E52)^2)</f>
        <v>0.48907981199391171</v>
      </c>
      <c r="U51" s="48" t="str">
        <f>IF(T51&gt;=F51,"Inverted","Normal")</f>
        <v>Normal</v>
      </c>
    </row>
    <row r="52" spans="1:21" x14ac:dyDescent="0.25">
      <c r="A52" s="4" t="s">
        <v>1</v>
      </c>
      <c r="B52" s="17">
        <f>B46</f>
        <v>4.0652999999999997</v>
      </c>
      <c r="C52" s="17">
        <f>C46</f>
        <v>-4.8158000000000003</v>
      </c>
      <c r="D52" s="17">
        <f>B52-B54</f>
        <v>0.9916999999999998</v>
      </c>
      <c r="E52" s="17">
        <f>C52-C54</f>
        <v>-0.76100000000000012</v>
      </c>
      <c r="F52" s="17">
        <f>ROUNDUP(SQRT((D52^2)+(E52^2)),4)</f>
        <v>1.2501</v>
      </c>
      <c r="G52" s="17">
        <f t="shared" ref="G52:G53" si="21">ROUNDUP(ACOS((D52/F52))*(180/3.1415926),4)</f>
        <v>37.505400000000002</v>
      </c>
      <c r="H52" s="17">
        <f t="shared" ref="H52:H53" si="22">ROUNDUP(ASIN((E52/F52))*(180/3.1415926),4)</f>
        <v>-37.499300000000005</v>
      </c>
      <c r="I52" s="14">
        <f t="shared" ref="I52:I53" si="23">IF(D52&lt;&gt;0,ROUNDUP(ATAN(E52/D52)*(180/3.1415926),4),90)</f>
        <v>-37.501600000000003</v>
      </c>
      <c r="J52" s="17">
        <f>IF((I52*H52*G52)&gt;=0,I52,180+I52)</f>
        <v>-37.501600000000003</v>
      </c>
      <c r="K52" s="21"/>
      <c r="L52" s="26"/>
      <c r="M52" s="16"/>
      <c r="N52" s="17"/>
      <c r="O52" s="17"/>
      <c r="P52" s="17"/>
      <c r="Q52" s="18"/>
      <c r="R52" s="4"/>
      <c r="S52" s="46"/>
      <c r="T52" s="46"/>
      <c r="U52" s="48"/>
    </row>
    <row r="53" spans="1:21" x14ac:dyDescent="0.25">
      <c r="A53" s="4" t="s">
        <v>2</v>
      </c>
      <c r="B53" s="17">
        <f>B45</f>
        <v>3.0735999999999999</v>
      </c>
      <c r="C53" s="17">
        <f>C45</f>
        <v>-5.3048000000000002</v>
      </c>
      <c r="D53" s="17">
        <f>B53-B54</f>
        <v>0</v>
      </c>
      <c r="E53" s="17">
        <f>C53-C54</f>
        <v>-1.25</v>
      </c>
      <c r="F53" s="17">
        <f>ROUNDUP(SQRT((D53^2)+(E53^2)),4)</f>
        <v>1.25</v>
      </c>
      <c r="G53" s="17">
        <f t="shared" si="21"/>
        <v>90.000100000000003</v>
      </c>
      <c r="H53" s="17">
        <f t="shared" si="22"/>
        <v>-90.000100000000003</v>
      </c>
      <c r="I53" s="14">
        <f t="shared" si="23"/>
        <v>90</v>
      </c>
      <c r="J53" s="17">
        <f>IF((I53*H53*G53)&gt;=0,I53,180+I53)</f>
        <v>270</v>
      </c>
      <c r="K53" s="21"/>
      <c r="L53" s="26"/>
      <c r="M53" s="16"/>
      <c r="N53" s="17"/>
      <c r="O53" s="17"/>
      <c r="P53" s="17"/>
      <c r="Q53" s="18"/>
      <c r="R53" s="4"/>
      <c r="S53" s="46"/>
      <c r="T53" s="46"/>
      <c r="U53" s="48"/>
    </row>
    <row r="54" spans="1:21" x14ac:dyDescent="0.25">
      <c r="A54" s="4" t="s">
        <v>3</v>
      </c>
      <c r="B54" s="17">
        <f>B48</f>
        <v>3.0735999999999999</v>
      </c>
      <c r="C54" s="17">
        <f>C48</f>
        <v>-4.0548000000000002</v>
      </c>
      <c r="D54" s="17"/>
      <c r="E54" s="17"/>
      <c r="F54" s="17"/>
      <c r="G54" s="17"/>
      <c r="H54" s="17"/>
      <c r="I54" s="17"/>
      <c r="J54" s="17"/>
      <c r="K54" s="21"/>
      <c r="L54" s="26"/>
      <c r="M54" s="16"/>
      <c r="N54" s="17"/>
      <c r="O54" s="17"/>
      <c r="P54" s="17"/>
      <c r="Q54" s="18"/>
      <c r="R54" s="4"/>
      <c r="S54" s="46"/>
      <c r="T54" s="46"/>
      <c r="U54" s="48"/>
    </row>
    <row r="55" spans="1:21" ht="15.75" thickBot="1" x14ac:dyDescent="0.3">
      <c r="A55" s="5"/>
      <c r="B55" s="6"/>
      <c r="C55" s="6"/>
      <c r="D55" s="11"/>
      <c r="E55" s="11"/>
      <c r="F55" s="11"/>
      <c r="G55" s="11"/>
      <c r="H55" s="11"/>
      <c r="I55" s="11"/>
      <c r="J55" s="11"/>
      <c r="K55" s="23"/>
      <c r="L55" s="27"/>
      <c r="M55" s="19"/>
      <c r="N55" s="11"/>
      <c r="O55" s="11"/>
      <c r="P55" s="11"/>
      <c r="Q55" s="12"/>
      <c r="R55" s="5"/>
      <c r="S55" s="50"/>
      <c r="T55" s="50"/>
      <c r="U55" s="51"/>
    </row>
    <row r="56" spans="1:21" x14ac:dyDescent="0.25">
      <c r="M56" s="20"/>
      <c r="N56" s="20"/>
      <c r="O56" s="20"/>
      <c r="P56" s="20"/>
      <c r="Q56" s="20"/>
    </row>
  </sheetData>
  <sheetProtection sheet="1" objects="1" scenarios="1"/>
  <pageMargins left="0.2" right="0.2" top="0.75" bottom="0.75" header="0.3" footer="0.3"/>
  <pageSetup scale="61" fitToHeight="4" orientation="landscape" r:id="rId1"/>
  <rowBreaks count="1" manualBreakCount="1">
    <brk id="2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2018-07-11T17:33:00Z</cp:lastPrinted>
  <dcterms:created xsi:type="dcterms:W3CDTF">2018-07-11T15:12:29Z</dcterms:created>
  <dcterms:modified xsi:type="dcterms:W3CDTF">2018-07-11T22:07:17Z</dcterms:modified>
</cp:coreProperties>
</file>